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9635" windowHeight="7440"/>
  </bookViews>
  <sheets>
    <sheet name="Respirasi" sheetId="1" r:id="rId1"/>
    <sheet name="KULIT VS DAGING" sheetId="3" r:id="rId2"/>
  </sheets>
  <calcPr calcId="144525"/>
</workbook>
</file>

<file path=xl/calcChain.xml><?xml version="1.0" encoding="utf-8"?>
<calcChain xmlns="http://schemas.openxmlformats.org/spreadsheetml/2006/main">
  <c r="H54" i="1" l="1"/>
  <c r="H55" i="1" s="1"/>
  <c r="G54" i="1"/>
  <c r="G55" i="1" s="1"/>
  <c r="F54" i="1"/>
  <c r="F55" i="1" s="1"/>
  <c r="E54" i="1"/>
  <c r="E55" i="1" s="1"/>
  <c r="D54" i="1"/>
  <c r="D55" i="1" s="1"/>
  <c r="C54" i="1"/>
  <c r="C55" i="1" s="1"/>
  <c r="B55" i="1"/>
  <c r="B54" i="1"/>
  <c r="H52" i="1"/>
  <c r="G52" i="1"/>
  <c r="F52" i="1"/>
  <c r="E52" i="1"/>
  <c r="D52" i="1"/>
  <c r="C52" i="1"/>
  <c r="B52" i="1"/>
  <c r="H46" i="1"/>
  <c r="G46" i="1"/>
  <c r="F46" i="1"/>
  <c r="E46" i="1"/>
  <c r="D46" i="1"/>
  <c r="C46" i="1"/>
  <c r="B46" i="1"/>
  <c r="H40" i="1"/>
  <c r="G40" i="1"/>
  <c r="F40" i="1"/>
  <c r="E40" i="1"/>
  <c r="D40" i="1"/>
  <c r="C40" i="1"/>
  <c r="B40" i="1"/>
  <c r="H34" i="1"/>
  <c r="G34" i="1"/>
  <c r="F34" i="1"/>
  <c r="E34" i="1"/>
  <c r="D34" i="1"/>
  <c r="C34" i="1"/>
  <c r="B34" i="1"/>
  <c r="H28" i="1"/>
  <c r="G28" i="1"/>
  <c r="F28" i="1"/>
  <c r="E28" i="1"/>
  <c r="D28" i="1"/>
  <c r="C28" i="1"/>
  <c r="B28" i="1"/>
  <c r="H22" i="1"/>
  <c r="G22" i="1"/>
  <c r="F22" i="1"/>
  <c r="E22" i="1"/>
  <c r="D22" i="1"/>
  <c r="C22" i="1"/>
  <c r="B22" i="1"/>
  <c r="H16" i="1"/>
  <c r="G16" i="1"/>
  <c r="F16" i="1"/>
  <c r="E16" i="1"/>
  <c r="D16" i="1"/>
  <c r="C16" i="1"/>
  <c r="B16" i="1"/>
  <c r="H10" i="1"/>
  <c r="G10" i="1"/>
  <c r="F10" i="1"/>
  <c r="E10" i="1"/>
  <c r="D10" i="1"/>
  <c r="C10" i="1"/>
  <c r="B10" i="1"/>
  <c r="B51" i="3" l="1"/>
  <c r="E51" i="3" s="1"/>
  <c r="B50" i="3"/>
  <c r="C50" i="3" s="1"/>
  <c r="B49" i="3"/>
  <c r="B48" i="3"/>
  <c r="B47" i="3"/>
  <c r="B45" i="3"/>
  <c r="B44" i="3"/>
  <c r="C44" i="3" s="1"/>
  <c r="B43" i="3"/>
  <c r="C51" i="3"/>
  <c r="C47" i="3"/>
  <c r="C45" i="3"/>
  <c r="C43" i="3"/>
  <c r="B42" i="3"/>
  <c r="B41" i="3"/>
  <c r="E41" i="3" s="1"/>
  <c r="O51" i="3"/>
  <c r="K51" i="3"/>
  <c r="G51" i="3"/>
  <c r="O50" i="3"/>
  <c r="M50" i="3"/>
  <c r="Q50" i="3" s="1"/>
  <c r="K50" i="3"/>
  <c r="G50" i="3"/>
  <c r="O49" i="3"/>
  <c r="K49" i="3"/>
  <c r="M49" i="3"/>
  <c r="G49" i="3"/>
  <c r="C49" i="3"/>
  <c r="O48" i="3"/>
  <c r="M48" i="3"/>
  <c r="K48" i="3"/>
  <c r="G48" i="3"/>
  <c r="C48" i="3"/>
  <c r="E48" i="3"/>
  <c r="O47" i="3"/>
  <c r="M47" i="3"/>
  <c r="K47" i="3"/>
  <c r="G47" i="3"/>
  <c r="O45" i="3"/>
  <c r="K45" i="3"/>
  <c r="M45" i="3"/>
  <c r="G45" i="3"/>
  <c r="O44" i="3"/>
  <c r="M44" i="3"/>
  <c r="Q44" i="3" s="1"/>
  <c r="K44" i="3"/>
  <c r="G44" i="3"/>
  <c r="E44" i="3"/>
  <c r="O43" i="3"/>
  <c r="K43" i="3"/>
  <c r="G43" i="3"/>
  <c r="E43" i="3"/>
  <c r="O42" i="3"/>
  <c r="M42" i="3"/>
  <c r="K42" i="3"/>
  <c r="G42" i="3"/>
  <c r="C42" i="3"/>
  <c r="O41" i="3"/>
  <c r="M41" i="3"/>
  <c r="K41" i="3"/>
  <c r="G41" i="3"/>
  <c r="C41" i="3"/>
  <c r="Q48" i="3" l="1"/>
  <c r="I41" i="3"/>
  <c r="I48" i="3"/>
  <c r="I51" i="3"/>
  <c r="I43" i="3"/>
  <c r="I44" i="3"/>
  <c r="Q49" i="3"/>
  <c r="Q47" i="3"/>
  <c r="Q45" i="3"/>
  <c r="Q42" i="3"/>
  <c r="Q41" i="3"/>
  <c r="E47" i="3"/>
  <c r="I47" i="3" s="1"/>
  <c r="E49" i="3"/>
  <c r="I49" i="3" s="1"/>
  <c r="E50" i="3"/>
  <c r="I50" i="3" s="1"/>
  <c r="M51" i="3"/>
  <c r="Q51" i="3" s="1"/>
  <c r="E42" i="3"/>
  <c r="I42" i="3" s="1"/>
  <c r="M43" i="3"/>
  <c r="Q43" i="3" s="1"/>
  <c r="E45" i="3"/>
  <c r="I45" i="3" s="1"/>
  <c r="Q46" i="3" l="1"/>
  <c r="I46" i="3"/>
  <c r="Q52" i="3"/>
  <c r="I52" i="3"/>
  <c r="B36" i="3" l="1"/>
  <c r="J37" i="3"/>
  <c r="B37" i="3"/>
  <c r="J39" i="3"/>
  <c r="B39" i="3"/>
  <c r="B38" i="3"/>
  <c r="B35" i="3" l="1"/>
  <c r="O39" i="3"/>
  <c r="K39" i="3"/>
  <c r="G39" i="3"/>
  <c r="C39" i="3"/>
  <c r="E39" i="3"/>
  <c r="O38" i="3"/>
  <c r="K38" i="3"/>
  <c r="G38" i="3"/>
  <c r="C38" i="3"/>
  <c r="E38" i="3"/>
  <c r="O37" i="3"/>
  <c r="K37" i="3"/>
  <c r="G37" i="3"/>
  <c r="C37" i="3"/>
  <c r="E37" i="3"/>
  <c r="O36" i="3"/>
  <c r="K36" i="3"/>
  <c r="G36" i="3"/>
  <c r="C36" i="3"/>
  <c r="E36" i="3"/>
  <c r="O35" i="3"/>
  <c r="K35" i="3"/>
  <c r="G35" i="3"/>
  <c r="C35" i="3"/>
  <c r="E35" i="3"/>
  <c r="I38" i="3" l="1"/>
  <c r="I36" i="3"/>
  <c r="I35" i="3"/>
  <c r="I37" i="3"/>
  <c r="I39" i="3"/>
  <c r="M35" i="3"/>
  <c r="Q35" i="3" s="1"/>
  <c r="M36" i="3"/>
  <c r="Q36" i="3" s="1"/>
  <c r="M37" i="3"/>
  <c r="Q37" i="3" s="1"/>
  <c r="M38" i="3"/>
  <c r="Q38" i="3" s="1"/>
  <c r="M39" i="3"/>
  <c r="Q39" i="3" s="1"/>
  <c r="I40" i="3" l="1"/>
  <c r="Q40" i="3"/>
  <c r="J33" i="3" l="1"/>
  <c r="B33" i="3"/>
  <c r="J32" i="3"/>
  <c r="B32" i="3"/>
  <c r="J30" i="3"/>
  <c r="B30" i="3"/>
  <c r="B29" i="3"/>
  <c r="J29" i="3"/>
  <c r="J31" i="3" l="1"/>
  <c r="K31" i="3" s="1"/>
  <c r="B31" i="3"/>
  <c r="E31" i="3" s="1"/>
  <c r="O33" i="3"/>
  <c r="M33" i="3"/>
  <c r="G33" i="3"/>
  <c r="C33" i="3"/>
  <c r="E33" i="3"/>
  <c r="O32" i="3"/>
  <c r="K32" i="3"/>
  <c r="G32" i="3"/>
  <c r="C32" i="3"/>
  <c r="E32" i="3"/>
  <c r="O31" i="3"/>
  <c r="G31" i="3"/>
  <c r="C31" i="3"/>
  <c r="O30" i="3"/>
  <c r="K30" i="3"/>
  <c r="G30" i="3"/>
  <c r="C30" i="3"/>
  <c r="E30" i="3"/>
  <c r="O29" i="3"/>
  <c r="M29" i="3"/>
  <c r="G29" i="3"/>
  <c r="C29" i="3"/>
  <c r="E29" i="3"/>
  <c r="I29" i="3" s="1"/>
  <c r="J27" i="3"/>
  <c r="B27" i="3"/>
  <c r="E27" i="3" s="1"/>
  <c r="J26" i="3"/>
  <c r="K26" i="3" s="1"/>
  <c r="J25" i="3"/>
  <c r="B25" i="3"/>
  <c r="C25" i="3" s="1"/>
  <c r="B26" i="3"/>
  <c r="J24" i="3"/>
  <c r="B24" i="3"/>
  <c r="E24" i="3" s="1"/>
  <c r="K27" i="3"/>
  <c r="K25" i="3"/>
  <c r="K24" i="3"/>
  <c r="J23" i="3"/>
  <c r="M23" i="3" s="1"/>
  <c r="B23" i="3"/>
  <c r="E23" i="3" s="1"/>
  <c r="O27" i="3"/>
  <c r="M27" i="3"/>
  <c r="G27" i="3"/>
  <c r="C27" i="3"/>
  <c r="O26" i="3"/>
  <c r="M26" i="3"/>
  <c r="G26" i="3"/>
  <c r="E26" i="3"/>
  <c r="C26" i="3"/>
  <c r="O25" i="3"/>
  <c r="M25" i="3"/>
  <c r="G25" i="3"/>
  <c r="E25" i="3"/>
  <c r="O24" i="3"/>
  <c r="M24" i="3"/>
  <c r="G24" i="3"/>
  <c r="O23" i="3"/>
  <c r="K23" i="3"/>
  <c r="G23" i="3"/>
  <c r="C23" i="3"/>
  <c r="I33" i="3" l="1"/>
  <c r="I31" i="3"/>
  <c r="I32" i="3"/>
  <c r="I30" i="3"/>
  <c r="M30" i="3"/>
  <c r="Q30" i="3" s="1"/>
  <c r="M31" i="3"/>
  <c r="Q31" i="3" s="1"/>
  <c r="M32" i="3"/>
  <c r="Q32" i="3" s="1"/>
  <c r="K29" i="3"/>
  <c r="Q29" i="3" s="1"/>
  <c r="K33" i="3"/>
  <c r="Q33" i="3" s="1"/>
  <c r="I27" i="3"/>
  <c r="I26" i="3"/>
  <c r="Q26" i="3"/>
  <c r="I25" i="3"/>
  <c r="C24" i="3"/>
  <c r="I24" i="3" s="1"/>
  <c r="Q25" i="3"/>
  <c r="Q27" i="3"/>
  <c r="Q23" i="3"/>
  <c r="I23" i="3"/>
  <c r="Q24" i="3"/>
  <c r="I34" i="3" l="1"/>
  <c r="Q34" i="3"/>
  <c r="I28" i="3"/>
  <c r="Q28" i="3"/>
  <c r="K17" i="3" l="1"/>
  <c r="M17" i="3"/>
  <c r="O17" i="3"/>
  <c r="E19" i="3"/>
  <c r="Q17" i="3" l="1"/>
  <c r="E17" i="3" l="1"/>
  <c r="O8" i="3" l="1"/>
  <c r="M8" i="3"/>
  <c r="K8" i="3"/>
  <c r="G8" i="3"/>
  <c r="E8" i="3"/>
  <c r="I8" i="3" s="1"/>
  <c r="C8" i="3"/>
  <c r="Q8" i="3" l="1"/>
  <c r="M15" i="3" l="1"/>
  <c r="M11" i="3"/>
  <c r="E15" i="3" l="1"/>
  <c r="E14" i="3"/>
  <c r="E7" i="3"/>
  <c r="E9" i="3" l="1"/>
  <c r="E6" i="3"/>
  <c r="E5" i="3"/>
  <c r="E13" i="3"/>
  <c r="E12" i="3"/>
  <c r="E11" i="3"/>
  <c r="E21" i="3"/>
  <c r="E20" i="3"/>
  <c r="E18" i="3"/>
  <c r="M21" i="3"/>
  <c r="M20" i="3"/>
  <c r="M19" i="3"/>
  <c r="M18" i="3"/>
  <c r="M14" i="3"/>
  <c r="M13" i="3"/>
  <c r="M12" i="3"/>
  <c r="M9" i="3"/>
  <c r="M7" i="3"/>
  <c r="M6" i="3"/>
  <c r="M5" i="3"/>
  <c r="K21" i="3" l="1"/>
  <c r="K20" i="3"/>
  <c r="K19" i="3"/>
  <c r="K18" i="3"/>
  <c r="K15" i="3"/>
  <c r="K14" i="3"/>
  <c r="K13" i="3"/>
  <c r="K12" i="3"/>
  <c r="K11" i="3"/>
  <c r="K9" i="3"/>
  <c r="K7" i="3"/>
  <c r="K6" i="3"/>
  <c r="K5" i="3"/>
  <c r="C21" i="3"/>
  <c r="C20" i="3"/>
  <c r="C19" i="3"/>
  <c r="C18" i="3"/>
  <c r="C17" i="3"/>
  <c r="C15" i="3"/>
  <c r="C14" i="3"/>
  <c r="C13" i="3"/>
  <c r="C12" i="3"/>
  <c r="C11" i="3"/>
  <c r="C7" i="3"/>
  <c r="C9" i="3"/>
  <c r="C6" i="3"/>
  <c r="C5" i="3"/>
  <c r="O21" i="3"/>
  <c r="O20" i="3"/>
  <c r="O19" i="3"/>
  <c r="O18" i="3"/>
  <c r="O15" i="3"/>
  <c r="O14" i="3"/>
  <c r="O13" i="3"/>
  <c r="O12" i="3"/>
  <c r="O11" i="3"/>
  <c r="O9" i="3"/>
  <c r="O7" i="3"/>
  <c r="O6" i="3"/>
  <c r="O5" i="3"/>
  <c r="G21" i="3"/>
  <c r="G20" i="3"/>
  <c r="G19" i="3"/>
  <c r="G18" i="3"/>
  <c r="G17" i="3"/>
  <c r="G15" i="3"/>
  <c r="G14" i="3"/>
  <c r="G13" i="3"/>
  <c r="G12" i="3"/>
  <c r="G11" i="3"/>
  <c r="G9" i="3"/>
  <c r="G7" i="3"/>
  <c r="G6" i="3"/>
  <c r="G5" i="3"/>
  <c r="I5" i="3" l="1"/>
  <c r="Q5" i="3"/>
  <c r="I6" i="3"/>
  <c r="Q6" i="3"/>
  <c r="I7" i="3"/>
  <c r="Q7" i="3"/>
  <c r="I9" i="3"/>
  <c r="Q9" i="3"/>
  <c r="I11" i="3"/>
  <c r="Q11" i="3"/>
  <c r="I12" i="3"/>
  <c r="Q12" i="3"/>
  <c r="I13" i="3"/>
  <c r="Q13" i="3"/>
  <c r="I14" i="3"/>
  <c r="Q14" i="3"/>
  <c r="I15" i="3"/>
  <c r="Q15" i="3"/>
  <c r="I17" i="3"/>
  <c r="I18" i="3"/>
  <c r="Q18" i="3"/>
  <c r="I19" i="3"/>
  <c r="Q19" i="3"/>
  <c r="I20" i="3"/>
  <c r="Q20" i="3"/>
  <c r="I21" i="3"/>
  <c r="Q21" i="3"/>
  <c r="Q10" i="3" l="1"/>
  <c r="I10" i="3"/>
  <c r="Q22" i="3"/>
  <c r="Q16" i="3"/>
  <c r="I22" i="3"/>
  <c r="I16" i="3"/>
</calcChain>
</file>

<file path=xl/sharedStrings.xml><?xml version="1.0" encoding="utf-8"?>
<sst xmlns="http://schemas.openxmlformats.org/spreadsheetml/2006/main" count="108" uniqueCount="53">
  <si>
    <t>Perlakuan</t>
  </si>
  <si>
    <t>Bobot Bahan (kg)</t>
  </si>
  <si>
    <t>Waktu Inkubasi</t>
  </si>
  <si>
    <t>Kadar CO2</t>
  </si>
  <si>
    <t>Konstanta Gas</t>
  </si>
  <si>
    <t>Laju Respirasi</t>
  </si>
  <si>
    <t>M1U1</t>
  </si>
  <si>
    <t>M1U2</t>
  </si>
  <si>
    <t>M1U4</t>
  </si>
  <si>
    <t>M1U5</t>
  </si>
  <si>
    <t>M1U6</t>
  </si>
  <si>
    <t>M2U1</t>
  </si>
  <si>
    <t>M2U2</t>
  </si>
  <si>
    <t>M2U3</t>
  </si>
  <si>
    <t>M2U4</t>
  </si>
  <si>
    <t>M2U5</t>
  </si>
  <si>
    <t>Vol Udara Bebas (ml)</t>
  </si>
  <si>
    <t>M3U1</t>
  </si>
  <si>
    <t>M3U2</t>
  </si>
  <si>
    <t>M3U3</t>
  </si>
  <si>
    <t>M3U4</t>
  </si>
  <si>
    <t>M3U5</t>
  </si>
  <si>
    <t>LAJU RESPIRASI PISANG MAS KIRANA</t>
  </si>
  <si>
    <t>LAJU RESPIRASI KULIT DAN DAGING BUAH PISANG MAS KIRANA</t>
  </si>
  <si>
    <t>KULIT</t>
  </si>
  <si>
    <t>DAGING</t>
  </si>
  <si>
    <t>Bobot Bahan (g)</t>
  </si>
  <si>
    <t>M4U1</t>
  </si>
  <si>
    <t>M4U2</t>
  </si>
  <si>
    <t>M4U3</t>
  </si>
  <si>
    <t>M4U4</t>
  </si>
  <si>
    <t>M4U5</t>
  </si>
  <si>
    <t>M5U1</t>
  </si>
  <si>
    <t>M5U2</t>
  </si>
  <si>
    <t>M5U3</t>
  </si>
  <si>
    <t>M5U4</t>
  </si>
  <si>
    <t>M5U5</t>
  </si>
  <si>
    <t>M6U1</t>
  </si>
  <si>
    <t>M6U2</t>
  </si>
  <si>
    <t>M6U3</t>
  </si>
  <si>
    <t>M6U4</t>
  </si>
  <si>
    <t>M6U5</t>
  </si>
  <si>
    <t>M7U1</t>
  </si>
  <si>
    <t>M7U2</t>
  </si>
  <si>
    <t>M7U3</t>
  </si>
  <si>
    <t>M7U4</t>
  </si>
  <si>
    <t>M7U5</t>
  </si>
  <si>
    <t>M8U1</t>
  </si>
  <si>
    <t>M8U2</t>
  </si>
  <si>
    <t>M8U3</t>
  </si>
  <si>
    <t>M8U4</t>
  </si>
  <si>
    <t>M8U5</t>
  </si>
  <si>
    <t>RATAAN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</si>
</sst>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164" formatCode="0.000"/>
    <numFmt numFmtId="165" formatCode="_(* #.###._);_(* \(#.###.\);_(* &quot;-&quot;_);_(@_ⴆ"/>
    <numFmt numFmtId="166" formatCode="_(* #.00.;_(* \(#.00.;_(* &quot;-&quot;_);_(@_ⴆ"/>
  </numFmts>
  <fonts count="1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8">
    <xf numFmtId="0" fontId="0" fillId="0" borderId="0" xfId="0"/>
    <xf numFmtId="1" fontId="2" fillId="0" borderId="0" xfId="0" applyNumberFormat="1" applyFont="1"/>
    <xf numFmtId="1" fontId="3" fillId="0" borderId="0" xfId="1" applyNumberFormat="1" applyFont="1" applyAlignment="1">
      <alignment wrapText="1"/>
    </xf>
    <xf numFmtId="1" fontId="4" fillId="0" borderId="0" xfId="0" applyNumberFormat="1" applyFont="1"/>
    <xf numFmtId="1" fontId="5" fillId="0" borderId="0" xfId="0" applyNumberFormat="1" applyFont="1" applyAlignment="1">
      <alignment horizontal="center" vertical="center" wrapText="1"/>
    </xf>
    <xf numFmtId="1" fontId="3" fillId="0" borderId="3" xfId="0" applyNumberFormat="1" applyFont="1" applyBorder="1"/>
    <xf numFmtId="1" fontId="3" fillId="0" borderId="4" xfId="0" applyNumberFormat="1" applyFont="1" applyBorder="1"/>
    <xf numFmtId="1" fontId="3" fillId="0" borderId="5" xfId="0" applyNumberFormat="1" applyFont="1" applyBorder="1"/>
    <xf numFmtId="164" fontId="4" fillId="0" borderId="0" xfId="0" applyNumberFormat="1" applyFont="1"/>
    <xf numFmtId="1" fontId="11" fillId="0" borderId="0" xfId="0" applyNumberFormat="1" applyFont="1"/>
    <xf numFmtId="1" fontId="3" fillId="0" borderId="7" xfId="0" applyNumberFormat="1" applyFont="1" applyBorder="1"/>
    <xf numFmtId="1" fontId="6" fillId="0" borderId="6" xfId="0" applyNumberFormat="1" applyFont="1" applyBorder="1"/>
    <xf numFmtId="165" fontId="9" fillId="0" borderId="3" xfId="1" applyNumberFormat="1" applyFont="1" applyBorder="1"/>
    <xf numFmtId="165" fontId="9" fillId="0" borderId="4" xfId="1" applyNumberFormat="1" applyFont="1" applyBorder="1"/>
    <xf numFmtId="166" fontId="9" fillId="0" borderId="3" xfId="1" applyNumberFormat="1" applyFont="1" applyBorder="1"/>
    <xf numFmtId="166" fontId="10" fillId="0" borderId="3" xfId="0" applyNumberFormat="1" applyFont="1" applyBorder="1"/>
    <xf numFmtId="166" fontId="9" fillId="0" borderId="4" xfId="1" applyNumberFormat="1" applyFont="1" applyBorder="1"/>
    <xf numFmtId="166" fontId="10" fillId="0" borderId="4" xfId="0" applyNumberFormat="1" applyFont="1" applyBorder="1"/>
    <xf numFmtId="166" fontId="9" fillId="0" borderId="7" xfId="1" applyNumberFormat="1" applyFont="1" applyBorder="1"/>
    <xf numFmtId="166" fontId="10" fillId="0" borderId="7" xfId="0" applyNumberFormat="1" applyFont="1" applyBorder="1"/>
    <xf numFmtId="166" fontId="9" fillId="0" borderId="5" xfId="1" applyNumberFormat="1" applyFont="1" applyBorder="1"/>
    <xf numFmtId="166" fontId="7" fillId="0" borderId="6" xfId="1" applyNumberFormat="1" applyFont="1" applyBorder="1"/>
    <xf numFmtId="166" fontId="7" fillId="0" borderId="6" xfId="0" applyNumberFormat="1" applyFont="1" applyBorder="1"/>
    <xf numFmtId="166" fontId="9" fillId="2" borderId="3" xfId="1" applyNumberFormat="1" applyFont="1" applyFill="1" applyBorder="1"/>
    <xf numFmtId="166" fontId="9" fillId="2" borderId="4" xfId="1" applyNumberFormat="1" applyFont="1" applyFill="1" applyBorder="1"/>
    <xf numFmtId="166" fontId="7" fillId="2" borderId="6" xfId="1" applyNumberFormat="1" applyFont="1" applyFill="1" applyBorder="1"/>
    <xf numFmtId="0" fontId="7" fillId="0" borderId="2" xfId="0" applyFont="1" applyBorder="1" applyAlignment="1">
      <alignment horizontal="center" vertical="center" wrapText="1"/>
    </xf>
    <xf numFmtId="41" fontId="8" fillId="0" borderId="2" xfId="1" applyFont="1" applyBorder="1" applyAlignment="1">
      <alignment horizontal="center" vertical="center" wrapText="1"/>
    </xf>
    <xf numFmtId="41" fontId="8" fillId="2" borderId="2" xfId="1" applyFont="1" applyFill="1" applyBorder="1" applyAlignment="1">
      <alignment horizontal="center" vertical="center" wrapText="1"/>
    </xf>
    <xf numFmtId="166" fontId="10" fillId="0" borderId="3" xfId="1" applyNumberFormat="1" applyFont="1" applyBorder="1"/>
    <xf numFmtId="166" fontId="10" fillId="0" borderId="4" xfId="1" applyNumberFormat="1" applyFont="1" applyBorder="1"/>
    <xf numFmtId="166" fontId="10" fillId="0" borderId="7" xfId="1" applyNumberFormat="1" applyFont="1" applyBorder="1"/>
    <xf numFmtId="165" fontId="9" fillId="0" borderId="7" xfId="1" applyNumberFormat="1" applyFont="1" applyBorder="1"/>
    <xf numFmtId="166" fontId="9" fillId="2" borderId="7" xfId="1" applyNumberFormat="1" applyFont="1" applyFill="1" applyBorder="1"/>
    <xf numFmtId="2" fontId="4" fillId="0" borderId="0" xfId="0" applyNumberFormat="1" applyFont="1"/>
    <xf numFmtId="166" fontId="9" fillId="3" borderId="3" xfId="1" applyNumberFormat="1" applyFont="1" applyFill="1" applyBorder="1"/>
    <xf numFmtId="166" fontId="9" fillId="3" borderId="4" xfId="1" applyNumberFormat="1" applyFont="1" applyFill="1" applyBorder="1"/>
    <xf numFmtId="41" fontId="8" fillId="3" borderId="2" xfId="1" applyFont="1" applyFill="1" applyBorder="1" applyAlignment="1">
      <alignment horizontal="center" vertical="center" wrapText="1"/>
    </xf>
    <xf numFmtId="166" fontId="9" fillId="3" borderId="7" xfId="1" applyNumberFormat="1" applyFont="1" applyFill="1" applyBorder="1"/>
    <xf numFmtId="166" fontId="7" fillId="3" borderId="6" xfId="1" applyNumberFormat="1" applyFont="1" applyFill="1" applyBorder="1"/>
    <xf numFmtId="2" fontId="3" fillId="0" borderId="3" xfId="0" applyNumberFormat="1" applyFont="1" applyBorder="1"/>
    <xf numFmtId="2" fontId="3" fillId="0" borderId="4" xfId="0" applyNumberFormat="1" applyFont="1" applyBorder="1"/>
    <xf numFmtId="2" fontId="3" fillId="0" borderId="7" xfId="0" applyNumberFormat="1" applyFont="1" applyBorder="1"/>
    <xf numFmtId="166" fontId="9" fillId="0" borderId="3" xfId="1" applyNumberFormat="1" applyFont="1" applyFill="1" applyBorder="1"/>
    <xf numFmtId="166" fontId="9" fillId="0" borderId="4" xfId="1" applyNumberFormat="1" applyFont="1" applyFill="1" applyBorder="1"/>
    <xf numFmtId="1" fontId="4" fillId="0" borderId="0" xfId="0" applyNumberFormat="1" applyFont="1" applyFill="1"/>
    <xf numFmtId="1" fontId="6" fillId="0" borderId="1" xfId="1" applyNumberFormat="1" applyFont="1" applyFill="1" applyBorder="1" applyAlignment="1">
      <alignment horizontal="center" wrapText="1"/>
    </xf>
    <xf numFmtId="166" fontId="9" fillId="0" borderId="7" xfId="1" applyNumberFormat="1" applyFont="1" applyFill="1" applyBorder="1"/>
    <xf numFmtId="166" fontId="7" fillId="0" borderId="6" xfId="1" applyNumberFormat="1" applyFont="1" applyFill="1" applyBorder="1"/>
    <xf numFmtId="1" fontId="6" fillId="0" borderId="11" xfId="1" applyNumberFormat="1" applyFont="1" applyFill="1" applyBorder="1" applyAlignment="1">
      <alignment horizontal="center" wrapText="1"/>
    </xf>
    <xf numFmtId="1" fontId="6" fillId="0" borderId="12" xfId="1" applyNumberFormat="1" applyFont="1" applyFill="1" applyBorder="1" applyAlignment="1">
      <alignment horizont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41" fontId="8" fillId="0" borderId="8" xfId="1" applyFont="1" applyBorder="1" applyAlignment="1">
      <alignment horizontal="center" vertical="center" wrapText="1"/>
    </xf>
    <xf numFmtId="41" fontId="8" fillId="0" borderId="9" xfId="1" applyFont="1" applyBorder="1" applyAlignment="1">
      <alignment horizontal="center" vertical="center" wrapText="1"/>
    </xf>
    <xf numFmtId="1" fontId="6" fillId="0" borderId="10" xfId="1" applyNumberFormat="1" applyFont="1" applyBorder="1" applyAlignment="1">
      <alignment horizontal="center" wrapText="1"/>
    </xf>
    <xf numFmtId="1" fontId="6" fillId="0" borderId="11" xfId="1" applyNumberFormat="1" applyFont="1" applyBorder="1" applyAlignment="1">
      <alignment horizontal="center" wrapText="1"/>
    </xf>
    <xf numFmtId="1" fontId="6" fillId="0" borderId="12" xfId="1" applyNumberFormat="1" applyFont="1" applyBorder="1" applyAlignment="1">
      <alignment horizont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d-ID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v>Minggu ke-1</c:v>
          </c:tx>
          <c:xVal>
            <c:numRef>
              <c:f>Respirasi!$B$4:$H$4</c:f>
              <c:numCache>
                <c:formatCode>0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xVal>
          <c:yVal>
            <c:numRef>
              <c:f>Respirasi!$B$10:$H$10</c:f>
              <c:numCache>
                <c:formatCode>_(* #.00.;_(* \(#.00.;_(* "-"_);_(@_ⴆ</c:formatCode>
                <c:ptCount val="7"/>
                <c:pt idx="0">
                  <c:v>164.42807051157229</c:v>
                </c:pt>
                <c:pt idx="1">
                  <c:v>160.66626348125632</c:v>
                </c:pt>
                <c:pt idx="2">
                  <c:v>210.68870063071705</c:v>
                </c:pt>
                <c:pt idx="3">
                  <c:v>396.93019591609925</c:v>
                </c:pt>
                <c:pt idx="4">
                  <c:v>562.50119042251424</c:v>
                </c:pt>
                <c:pt idx="5">
                  <c:v>516.62769920610333</c:v>
                </c:pt>
                <c:pt idx="6">
                  <c:v>471.15665492667432</c:v>
                </c:pt>
              </c:numCache>
            </c:numRef>
          </c:yVal>
          <c:smooth val="1"/>
        </c:ser>
        <c:ser>
          <c:idx val="1"/>
          <c:order val="1"/>
          <c:tx>
            <c:v>Minggu ke-2</c:v>
          </c:tx>
          <c:xVal>
            <c:numRef>
              <c:f>Respirasi!$B$4:$H$4</c:f>
              <c:numCache>
                <c:formatCode>0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xVal>
          <c:yVal>
            <c:numRef>
              <c:f>Respirasi!$B$16:$H$16</c:f>
              <c:numCache>
                <c:formatCode>_(* #.00.;_(* \(#.00.;_(* "-"_);_(@_ⴆ</c:formatCode>
                <c:ptCount val="7"/>
                <c:pt idx="0">
                  <c:v>232.12006291397194</c:v>
                </c:pt>
                <c:pt idx="1">
                  <c:v>164.05059458202209</c:v>
                </c:pt>
                <c:pt idx="2">
                  <c:v>233.87596928814463</c:v>
                </c:pt>
                <c:pt idx="3">
                  <c:v>295.44308606693414</c:v>
                </c:pt>
                <c:pt idx="4">
                  <c:v>432.31721279965041</c:v>
                </c:pt>
                <c:pt idx="5">
                  <c:v>520.52678383893704</c:v>
                </c:pt>
                <c:pt idx="6">
                  <c:v>456.19067090333118</c:v>
                </c:pt>
              </c:numCache>
            </c:numRef>
          </c:yVal>
          <c:smooth val="1"/>
        </c:ser>
        <c:ser>
          <c:idx val="2"/>
          <c:order val="2"/>
          <c:tx>
            <c:v>Minggu ke-3</c:v>
          </c:tx>
          <c:xVal>
            <c:numRef>
              <c:f>Respirasi!$B$4:$H$4</c:f>
              <c:numCache>
                <c:formatCode>0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xVal>
          <c:yVal>
            <c:numRef>
              <c:f>Respirasi!$B$22:$H$22</c:f>
              <c:numCache>
                <c:formatCode>_(* #.00.;_(* \(#.00.;_(* "-"_);_(@_ⴆ</c:formatCode>
                <c:ptCount val="7"/>
                <c:pt idx="0">
                  <c:v>202.70653595307115</c:v>
                </c:pt>
                <c:pt idx="1">
                  <c:v>219.55786684585547</c:v>
                </c:pt>
                <c:pt idx="2">
                  <c:v>271.75198903361695</c:v>
                </c:pt>
                <c:pt idx="3">
                  <c:v>307.65489512571992</c:v>
                </c:pt>
                <c:pt idx="4">
                  <c:v>420.0998181086519</c:v>
                </c:pt>
                <c:pt idx="5">
                  <c:v>526.68310659684153</c:v>
                </c:pt>
                <c:pt idx="6">
                  <c:v>539.28411901277912</c:v>
                </c:pt>
              </c:numCache>
            </c:numRef>
          </c:yVal>
          <c:smooth val="1"/>
        </c:ser>
        <c:ser>
          <c:idx val="3"/>
          <c:order val="3"/>
          <c:tx>
            <c:v>Minggu ke-4</c:v>
          </c:tx>
          <c:xVal>
            <c:numRef>
              <c:f>Respirasi!$B$4:$H$4</c:f>
              <c:numCache>
                <c:formatCode>0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xVal>
          <c:yVal>
            <c:numRef>
              <c:f>Respirasi!$B$28:$H$28</c:f>
              <c:numCache>
                <c:formatCode>_(* #.00.;_(* \(#.00.;_(* "-"_);_(@_ⴆ</c:formatCode>
                <c:ptCount val="7"/>
                <c:pt idx="0">
                  <c:v>185.79606365147185</c:v>
                </c:pt>
                <c:pt idx="1">
                  <c:v>182.79749042254795</c:v>
                </c:pt>
                <c:pt idx="2">
                  <c:v>192.12003578653173</c:v>
                </c:pt>
                <c:pt idx="3">
                  <c:v>194.67837111890213</c:v>
                </c:pt>
                <c:pt idx="4">
                  <c:v>206.57160998878649</c:v>
                </c:pt>
                <c:pt idx="5">
                  <c:v>592.42352577594727</c:v>
                </c:pt>
                <c:pt idx="6">
                  <c:v>620.17625491714637</c:v>
                </c:pt>
              </c:numCache>
            </c:numRef>
          </c:yVal>
          <c:smooth val="1"/>
        </c:ser>
        <c:ser>
          <c:idx val="4"/>
          <c:order val="4"/>
          <c:tx>
            <c:v>Minggu ke-5</c:v>
          </c:tx>
          <c:xVal>
            <c:numRef>
              <c:f>Respirasi!$B$4:$H$4</c:f>
              <c:numCache>
                <c:formatCode>0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xVal>
          <c:yVal>
            <c:numRef>
              <c:f>Respirasi!$B$34:$H$34</c:f>
              <c:numCache>
                <c:formatCode>_(* #.00.;_(* \(#.00.;_(* "-"_);_(@_ⴆ</c:formatCode>
                <c:ptCount val="7"/>
                <c:pt idx="0">
                  <c:v>186.73179766099685</c:v>
                </c:pt>
                <c:pt idx="1">
                  <c:v>159.77126525549755</c:v>
                </c:pt>
                <c:pt idx="2">
                  <c:v>160.19134672987474</c:v>
                </c:pt>
                <c:pt idx="3">
                  <c:v>206.39280281786628</c:v>
                </c:pt>
                <c:pt idx="4">
                  <c:v>404.55190802513516</c:v>
                </c:pt>
                <c:pt idx="5">
                  <c:v>519.5065021276597</c:v>
                </c:pt>
                <c:pt idx="6">
                  <c:v>536.45102568753441</c:v>
                </c:pt>
              </c:numCache>
            </c:numRef>
          </c:yVal>
          <c:smooth val="1"/>
        </c:ser>
        <c:ser>
          <c:idx val="5"/>
          <c:order val="5"/>
          <c:tx>
            <c:v>Minggu ke-6</c:v>
          </c:tx>
          <c:xVal>
            <c:numRef>
              <c:f>Respirasi!$B$4:$H$4</c:f>
              <c:numCache>
                <c:formatCode>0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xVal>
          <c:yVal>
            <c:numRef>
              <c:f>Respirasi!$B$40:$H$40</c:f>
              <c:numCache>
                <c:formatCode>_(* #.00.;_(* \(#.00.;_(* "-"_);_(@_ⴆ</c:formatCode>
                <c:ptCount val="7"/>
                <c:pt idx="0">
                  <c:v>169.31314448984745</c:v>
                </c:pt>
                <c:pt idx="1">
                  <c:v>145.21683402072227</c:v>
                </c:pt>
                <c:pt idx="2">
                  <c:v>161.88648893994065</c:v>
                </c:pt>
                <c:pt idx="3">
                  <c:v>207.21440774274964</c:v>
                </c:pt>
                <c:pt idx="4">
                  <c:v>471.15796437561346</c:v>
                </c:pt>
                <c:pt idx="5">
                  <c:v>547.94361925481439</c:v>
                </c:pt>
                <c:pt idx="6">
                  <c:v>538.21499874576739</c:v>
                </c:pt>
              </c:numCache>
            </c:numRef>
          </c:yVal>
          <c:smooth val="1"/>
        </c:ser>
        <c:ser>
          <c:idx val="6"/>
          <c:order val="6"/>
          <c:tx>
            <c:v>Minggu ke-7</c:v>
          </c:tx>
          <c:xVal>
            <c:numRef>
              <c:f>Respirasi!$B$4:$H$4</c:f>
              <c:numCache>
                <c:formatCode>0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xVal>
          <c:yVal>
            <c:numRef>
              <c:f>Respirasi!$B$46:$H$46</c:f>
              <c:numCache>
                <c:formatCode>_(* #.00.;_(* \(#.00.;_(* "-"_);_(@_ⴆ</c:formatCode>
                <c:ptCount val="7"/>
                <c:pt idx="0">
                  <c:v>134.66704522454876</c:v>
                </c:pt>
                <c:pt idx="1">
                  <c:v>122.89420425644471</c:v>
                </c:pt>
                <c:pt idx="2">
                  <c:v>164.9111885041583</c:v>
                </c:pt>
                <c:pt idx="3">
                  <c:v>432.63559051616886</c:v>
                </c:pt>
                <c:pt idx="4">
                  <c:v>615.12216090710876</c:v>
                </c:pt>
                <c:pt idx="5">
                  <c:v>583.04005801391236</c:v>
                </c:pt>
                <c:pt idx="6">
                  <c:v>486.51331601958202</c:v>
                </c:pt>
              </c:numCache>
            </c:numRef>
          </c:yVal>
          <c:smooth val="1"/>
        </c:ser>
        <c:ser>
          <c:idx val="7"/>
          <c:order val="7"/>
          <c:tx>
            <c:v>Minggu ke-8</c:v>
          </c:tx>
          <c:xVal>
            <c:numRef>
              <c:f>Respirasi!$B$4:$H$4</c:f>
              <c:numCache>
                <c:formatCode>0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xVal>
          <c:yVal>
            <c:numRef>
              <c:f>Respirasi!$B$52:$H$52</c:f>
              <c:numCache>
                <c:formatCode>_(* #.00.;_(* \(#.00.;_(* "-"_);_(@_ⴆ</c:formatCode>
                <c:ptCount val="7"/>
                <c:pt idx="0">
                  <c:v>168.7022545845243</c:v>
                </c:pt>
                <c:pt idx="1">
                  <c:v>156.86508382383838</c:v>
                </c:pt>
                <c:pt idx="2">
                  <c:v>215.19506231493656</c:v>
                </c:pt>
                <c:pt idx="3">
                  <c:v>463.23071968139647</c:v>
                </c:pt>
                <c:pt idx="4">
                  <c:v>495.64626564588252</c:v>
                </c:pt>
                <c:pt idx="5">
                  <c:v>495.69982317223196</c:v>
                </c:pt>
                <c:pt idx="6">
                  <c:v>421.25318063601361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0960384"/>
        <c:axId val="170962304"/>
      </c:scatterChart>
      <c:valAx>
        <c:axId val="1709603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id-ID"/>
                  <a:t>Skala warna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70962304"/>
        <c:crosses val="autoZero"/>
        <c:crossBetween val="midCat"/>
        <c:majorUnit val="1"/>
      </c:valAx>
      <c:valAx>
        <c:axId val="170962304"/>
        <c:scaling>
          <c:orientation val="minMax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id-ID"/>
                  <a:t>Laju respirasi (ml CO</a:t>
                </a:r>
                <a:r>
                  <a:rPr lang="en-US" sz="700"/>
                  <a:t>2</a:t>
                </a:r>
                <a:r>
                  <a:rPr lang="id-ID"/>
                  <a:t>/kg/jam) </a:t>
                </a:r>
              </a:p>
            </c:rich>
          </c:tx>
          <c:layout/>
          <c:overlay val="0"/>
        </c:title>
        <c:numFmt formatCode="General" sourceLinked="0"/>
        <c:majorTickMark val="none"/>
        <c:minorTickMark val="none"/>
        <c:tickLblPos val="nextTo"/>
        <c:crossAx val="170960384"/>
        <c:crosses val="autoZero"/>
        <c:crossBetween val="midCat"/>
        <c:majorUnit val="100"/>
        <c:minorUnit val="20"/>
      </c:valAx>
    </c:plotArea>
    <c:legend>
      <c:legendPos val="r"/>
      <c:layout/>
      <c:overlay val="0"/>
    </c:legend>
    <c:plotVisOnly val="1"/>
    <c:dispBlanksAs val="gap"/>
    <c:showDLblsOverMax val="0"/>
  </c:chart>
  <c:txPr>
    <a:bodyPr/>
    <a:lstStyle/>
    <a:p>
      <a:pPr>
        <a:defRPr sz="1200" b="0">
          <a:latin typeface="Times New Roman" pitchFamily="18" charset="0"/>
          <a:cs typeface="Times New Roman" pitchFamily="18" charset="0"/>
        </a:defRPr>
      </a:pPr>
      <a:endParaRPr lang="id-ID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d-ID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Laju Respirasi</c:v>
          </c:tx>
          <c:yVal>
            <c:numRef>
              <c:f>Respirasi!$B$55:$H$55</c:f>
              <c:numCache>
                <c:formatCode>0</c:formatCode>
                <c:ptCount val="7"/>
                <c:pt idx="0">
                  <c:v>180.55812187375057</c:v>
                </c:pt>
                <c:pt idx="1">
                  <c:v>163.97745033602311</c:v>
                </c:pt>
                <c:pt idx="2">
                  <c:v>201.32759765349007</c:v>
                </c:pt>
                <c:pt idx="3">
                  <c:v>313.02250862322961</c:v>
                </c:pt>
                <c:pt idx="4">
                  <c:v>450.99601628416792</c:v>
                </c:pt>
                <c:pt idx="5">
                  <c:v>537.80638974830583</c:v>
                </c:pt>
                <c:pt idx="6">
                  <c:v>508.65502760610354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0798464"/>
        <c:axId val="170812544"/>
      </c:scatterChart>
      <c:valAx>
        <c:axId val="170798464"/>
        <c:scaling>
          <c:orientation val="minMax"/>
        </c:scaling>
        <c:delete val="0"/>
        <c:axPos val="b"/>
        <c:majorTickMark val="out"/>
        <c:minorTickMark val="none"/>
        <c:tickLblPos val="nextTo"/>
        <c:crossAx val="170812544"/>
        <c:crosses val="autoZero"/>
        <c:crossBetween val="midCat"/>
      </c:valAx>
      <c:valAx>
        <c:axId val="17081254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7079846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d-ID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v>Week-1</c:v>
          </c:tx>
          <c:xVal>
            <c:numRef>
              <c:f>Respirasi!$B$4:$H$4</c:f>
              <c:numCache>
                <c:formatCode>0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xVal>
          <c:yVal>
            <c:numRef>
              <c:f>Respirasi!$B$10:$H$10</c:f>
              <c:numCache>
                <c:formatCode>_(* #.00.;_(* \(#.00.;_(* "-"_);_(@_ⴆ</c:formatCode>
                <c:ptCount val="7"/>
                <c:pt idx="0">
                  <c:v>164.42807051157229</c:v>
                </c:pt>
                <c:pt idx="1">
                  <c:v>160.66626348125632</c:v>
                </c:pt>
                <c:pt idx="2">
                  <c:v>210.68870063071705</c:v>
                </c:pt>
                <c:pt idx="3">
                  <c:v>396.93019591609925</c:v>
                </c:pt>
                <c:pt idx="4">
                  <c:v>562.50119042251424</c:v>
                </c:pt>
                <c:pt idx="5">
                  <c:v>516.62769920610333</c:v>
                </c:pt>
                <c:pt idx="6">
                  <c:v>471.15665492667432</c:v>
                </c:pt>
              </c:numCache>
            </c:numRef>
          </c:yVal>
          <c:smooth val="1"/>
        </c:ser>
        <c:ser>
          <c:idx val="1"/>
          <c:order val="1"/>
          <c:tx>
            <c:v>Week-2</c:v>
          </c:tx>
          <c:xVal>
            <c:numRef>
              <c:f>Respirasi!$B$4:$H$4</c:f>
              <c:numCache>
                <c:formatCode>0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xVal>
          <c:yVal>
            <c:numRef>
              <c:f>Respirasi!$B$16:$H$16</c:f>
              <c:numCache>
                <c:formatCode>_(* #.00.;_(* \(#.00.;_(* "-"_);_(@_ⴆ</c:formatCode>
                <c:ptCount val="7"/>
                <c:pt idx="0">
                  <c:v>232.12006291397194</c:v>
                </c:pt>
                <c:pt idx="1">
                  <c:v>164.05059458202209</c:v>
                </c:pt>
                <c:pt idx="2">
                  <c:v>233.87596928814463</c:v>
                </c:pt>
                <c:pt idx="3">
                  <c:v>295.44308606693414</c:v>
                </c:pt>
                <c:pt idx="4">
                  <c:v>432.31721279965041</c:v>
                </c:pt>
                <c:pt idx="5">
                  <c:v>520.52678383893704</c:v>
                </c:pt>
                <c:pt idx="6">
                  <c:v>456.19067090333118</c:v>
                </c:pt>
              </c:numCache>
            </c:numRef>
          </c:yVal>
          <c:smooth val="1"/>
        </c:ser>
        <c:ser>
          <c:idx val="2"/>
          <c:order val="2"/>
          <c:tx>
            <c:v>Week-3</c:v>
          </c:tx>
          <c:xVal>
            <c:numRef>
              <c:f>Respirasi!$B$4:$H$4</c:f>
              <c:numCache>
                <c:formatCode>0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xVal>
          <c:yVal>
            <c:numRef>
              <c:f>Respirasi!$B$22:$H$22</c:f>
              <c:numCache>
                <c:formatCode>_(* #.00.;_(* \(#.00.;_(* "-"_);_(@_ⴆ</c:formatCode>
                <c:ptCount val="7"/>
                <c:pt idx="0">
                  <c:v>202.70653595307115</c:v>
                </c:pt>
                <c:pt idx="1">
                  <c:v>219.55786684585547</c:v>
                </c:pt>
                <c:pt idx="2">
                  <c:v>271.75198903361695</c:v>
                </c:pt>
                <c:pt idx="3">
                  <c:v>307.65489512571992</c:v>
                </c:pt>
                <c:pt idx="4">
                  <c:v>420.0998181086519</c:v>
                </c:pt>
                <c:pt idx="5">
                  <c:v>526.68310659684153</c:v>
                </c:pt>
                <c:pt idx="6">
                  <c:v>539.28411901277912</c:v>
                </c:pt>
              </c:numCache>
            </c:numRef>
          </c:yVal>
          <c:smooth val="1"/>
        </c:ser>
        <c:ser>
          <c:idx val="3"/>
          <c:order val="3"/>
          <c:tx>
            <c:v>Week-4</c:v>
          </c:tx>
          <c:xVal>
            <c:numRef>
              <c:f>Respirasi!$B$4:$H$4</c:f>
              <c:numCache>
                <c:formatCode>0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xVal>
          <c:yVal>
            <c:numRef>
              <c:f>Respirasi!$B$28:$H$28</c:f>
              <c:numCache>
                <c:formatCode>_(* #.00.;_(* \(#.00.;_(* "-"_);_(@_ⴆ</c:formatCode>
                <c:ptCount val="7"/>
                <c:pt idx="0">
                  <c:v>185.79606365147185</c:v>
                </c:pt>
                <c:pt idx="1">
                  <c:v>182.79749042254795</c:v>
                </c:pt>
                <c:pt idx="2">
                  <c:v>192.12003578653173</c:v>
                </c:pt>
                <c:pt idx="3">
                  <c:v>194.67837111890213</c:v>
                </c:pt>
                <c:pt idx="4">
                  <c:v>206.57160998878649</c:v>
                </c:pt>
                <c:pt idx="5">
                  <c:v>592.42352577594727</c:v>
                </c:pt>
                <c:pt idx="6">
                  <c:v>620.17625491714637</c:v>
                </c:pt>
              </c:numCache>
            </c:numRef>
          </c:yVal>
          <c:smooth val="1"/>
        </c:ser>
        <c:ser>
          <c:idx val="4"/>
          <c:order val="4"/>
          <c:tx>
            <c:v>Week-5</c:v>
          </c:tx>
          <c:xVal>
            <c:numRef>
              <c:f>Respirasi!$B$4:$H$4</c:f>
              <c:numCache>
                <c:formatCode>0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xVal>
          <c:yVal>
            <c:numRef>
              <c:f>Respirasi!$B$34:$H$34</c:f>
              <c:numCache>
                <c:formatCode>_(* #.00.;_(* \(#.00.;_(* "-"_);_(@_ⴆ</c:formatCode>
                <c:ptCount val="7"/>
                <c:pt idx="0">
                  <c:v>186.73179766099685</c:v>
                </c:pt>
                <c:pt idx="1">
                  <c:v>159.77126525549755</c:v>
                </c:pt>
                <c:pt idx="2">
                  <c:v>160.19134672987474</c:v>
                </c:pt>
                <c:pt idx="3">
                  <c:v>206.39280281786628</c:v>
                </c:pt>
                <c:pt idx="4">
                  <c:v>404.55190802513516</c:v>
                </c:pt>
                <c:pt idx="5">
                  <c:v>519.5065021276597</c:v>
                </c:pt>
                <c:pt idx="6">
                  <c:v>536.45102568753441</c:v>
                </c:pt>
              </c:numCache>
            </c:numRef>
          </c:yVal>
          <c:smooth val="1"/>
        </c:ser>
        <c:ser>
          <c:idx val="5"/>
          <c:order val="5"/>
          <c:tx>
            <c:v>Week-6</c:v>
          </c:tx>
          <c:xVal>
            <c:numRef>
              <c:f>Respirasi!$B$4:$H$4</c:f>
              <c:numCache>
                <c:formatCode>0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xVal>
          <c:yVal>
            <c:numRef>
              <c:f>Respirasi!$B$40:$H$40</c:f>
              <c:numCache>
                <c:formatCode>_(* #.00.;_(* \(#.00.;_(* "-"_);_(@_ⴆ</c:formatCode>
                <c:ptCount val="7"/>
                <c:pt idx="0">
                  <c:v>169.31314448984745</c:v>
                </c:pt>
                <c:pt idx="1">
                  <c:v>145.21683402072227</c:v>
                </c:pt>
                <c:pt idx="2">
                  <c:v>161.88648893994065</c:v>
                </c:pt>
                <c:pt idx="3">
                  <c:v>207.21440774274964</c:v>
                </c:pt>
                <c:pt idx="4">
                  <c:v>471.15796437561346</c:v>
                </c:pt>
                <c:pt idx="5">
                  <c:v>547.94361925481439</c:v>
                </c:pt>
                <c:pt idx="6">
                  <c:v>538.21499874576739</c:v>
                </c:pt>
              </c:numCache>
            </c:numRef>
          </c:yVal>
          <c:smooth val="1"/>
        </c:ser>
        <c:ser>
          <c:idx val="6"/>
          <c:order val="6"/>
          <c:tx>
            <c:v>Week-7</c:v>
          </c:tx>
          <c:xVal>
            <c:numRef>
              <c:f>Respirasi!$B$4:$H$4</c:f>
              <c:numCache>
                <c:formatCode>0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xVal>
          <c:yVal>
            <c:numRef>
              <c:f>Respirasi!$B$46:$H$46</c:f>
              <c:numCache>
                <c:formatCode>_(* #.00.;_(* \(#.00.;_(* "-"_);_(@_ⴆ</c:formatCode>
                <c:ptCount val="7"/>
                <c:pt idx="0">
                  <c:v>134.66704522454876</c:v>
                </c:pt>
                <c:pt idx="1">
                  <c:v>122.89420425644471</c:v>
                </c:pt>
                <c:pt idx="2">
                  <c:v>164.9111885041583</c:v>
                </c:pt>
                <c:pt idx="3">
                  <c:v>432.63559051616886</c:v>
                </c:pt>
                <c:pt idx="4">
                  <c:v>615.12216090710876</c:v>
                </c:pt>
                <c:pt idx="5">
                  <c:v>583.04005801391236</c:v>
                </c:pt>
                <c:pt idx="6">
                  <c:v>486.51331601958202</c:v>
                </c:pt>
              </c:numCache>
            </c:numRef>
          </c:yVal>
          <c:smooth val="1"/>
        </c:ser>
        <c:ser>
          <c:idx val="7"/>
          <c:order val="7"/>
          <c:tx>
            <c:v>Week-8</c:v>
          </c:tx>
          <c:xVal>
            <c:numRef>
              <c:f>Respirasi!$B$4:$H$4</c:f>
              <c:numCache>
                <c:formatCode>0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xVal>
          <c:yVal>
            <c:numRef>
              <c:f>Respirasi!$B$52:$H$52</c:f>
              <c:numCache>
                <c:formatCode>_(* #.00.;_(* \(#.00.;_(* "-"_);_(@_ⴆ</c:formatCode>
                <c:ptCount val="7"/>
                <c:pt idx="0">
                  <c:v>168.7022545845243</c:v>
                </c:pt>
                <c:pt idx="1">
                  <c:v>156.86508382383838</c:v>
                </c:pt>
                <c:pt idx="2">
                  <c:v>215.19506231493656</c:v>
                </c:pt>
                <c:pt idx="3">
                  <c:v>463.23071968139647</c:v>
                </c:pt>
                <c:pt idx="4">
                  <c:v>495.64626564588252</c:v>
                </c:pt>
                <c:pt idx="5">
                  <c:v>495.69982317223196</c:v>
                </c:pt>
                <c:pt idx="6">
                  <c:v>421.25318063601361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087424"/>
        <c:axId val="52097792"/>
      </c:scatterChart>
      <c:valAx>
        <c:axId val="52087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Colour scale</a:t>
                </a:r>
                <a:endParaRPr lang="id-ID"/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52097792"/>
        <c:crosses val="autoZero"/>
        <c:crossBetween val="midCat"/>
        <c:majorUnit val="1"/>
      </c:valAx>
      <c:valAx>
        <c:axId val="52097792"/>
        <c:scaling>
          <c:orientation val="minMax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Respiration rate</a:t>
                </a:r>
                <a:r>
                  <a:rPr lang="id-ID"/>
                  <a:t> (ml CO</a:t>
                </a:r>
                <a:r>
                  <a:rPr lang="en-US" sz="700"/>
                  <a:t>2</a:t>
                </a:r>
                <a:r>
                  <a:rPr lang="id-ID"/>
                  <a:t>/kg/</a:t>
                </a:r>
                <a:r>
                  <a:rPr lang="en-US"/>
                  <a:t>hr)</a:t>
                </a:r>
                <a:r>
                  <a:rPr lang="id-ID"/>
                  <a:t> </a:t>
                </a:r>
              </a:p>
            </c:rich>
          </c:tx>
          <c:layout/>
          <c:overlay val="0"/>
        </c:title>
        <c:numFmt formatCode="General" sourceLinked="0"/>
        <c:majorTickMark val="none"/>
        <c:minorTickMark val="none"/>
        <c:tickLblPos val="nextTo"/>
        <c:crossAx val="52087424"/>
        <c:crosses val="autoZero"/>
        <c:crossBetween val="midCat"/>
        <c:majorUnit val="100"/>
        <c:minorUnit val="20"/>
      </c:valAx>
    </c:plotArea>
    <c:legend>
      <c:legendPos val="r"/>
      <c:layout/>
      <c:overlay val="0"/>
    </c:legend>
    <c:plotVisOnly val="1"/>
    <c:dispBlanksAs val="gap"/>
    <c:showDLblsOverMax val="0"/>
  </c:chart>
  <c:txPr>
    <a:bodyPr/>
    <a:lstStyle/>
    <a:p>
      <a:pPr>
        <a:defRPr sz="1200" b="0">
          <a:latin typeface="Times New Roman" pitchFamily="18" charset="0"/>
          <a:cs typeface="Times New Roman" pitchFamily="18" charset="0"/>
        </a:defRPr>
      </a:pPr>
      <a:endParaRPr lang="id-ID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185736</xdr:colOff>
      <xdr:row>15</xdr:row>
      <xdr:rowOff>85725</xdr:rowOff>
    </xdr:from>
    <xdr:to>
      <xdr:col>15</xdr:col>
      <xdr:colOff>447675</xdr:colOff>
      <xdr:row>31</xdr:row>
      <xdr:rowOff>171450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366712</xdr:colOff>
      <xdr:row>10</xdr:row>
      <xdr:rowOff>47625</xdr:rowOff>
    </xdr:from>
    <xdr:to>
      <xdr:col>7</xdr:col>
      <xdr:colOff>309562</xdr:colOff>
      <xdr:row>22</xdr:row>
      <xdr:rowOff>9525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41</xdr:row>
      <xdr:rowOff>0</xdr:rowOff>
    </xdr:from>
    <xdr:to>
      <xdr:col>18</xdr:col>
      <xdr:colOff>261939</xdr:colOff>
      <xdr:row>57</xdr:row>
      <xdr:rowOff>104775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workbookViewId="0">
      <pane xSplit="1" ySplit="4" topLeftCell="B18" activePane="bottomRight" state="frozen"/>
      <selection pane="topRight" activeCell="B1" sqref="B1"/>
      <selection pane="bottomLeft" activeCell="A5" sqref="A5"/>
      <selection pane="bottomRight" activeCell="V43" sqref="V43"/>
    </sheetView>
  </sheetViews>
  <sheetFormatPr defaultRowHeight="18" x14ac:dyDescent="0.25"/>
  <cols>
    <col min="1" max="1" width="12.7109375" style="3" customWidth="1"/>
    <col min="2" max="8" width="11.5703125" style="45" customWidth="1"/>
    <col min="9" max="16384" width="9.140625" style="3"/>
  </cols>
  <sheetData>
    <row r="1" spans="1:8" x14ac:dyDescent="0.25">
      <c r="A1" s="1" t="s">
        <v>22</v>
      </c>
    </row>
    <row r="3" spans="1:8" x14ac:dyDescent="0.25">
      <c r="A3" s="51" t="s">
        <v>0</v>
      </c>
      <c r="B3" s="49"/>
      <c r="C3" s="49"/>
      <c r="D3" s="49"/>
      <c r="E3" s="49"/>
      <c r="F3" s="49"/>
      <c r="G3" s="49"/>
      <c r="H3" s="50"/>
    </row>
    <row r="4" spans="1:8" s="4" customFormat="1" ht="16.5" thickBot="1" x14ac:dyDescent="0.25">
      <c r="A4" s="52"/>
      <c r="B4" s="46">
        <v>0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</row>
    <row r="5" spans="1:8" ht="18.75" thickTop="1" x14ac:dyDescent="0.25">
      <c r="A5" s="5" t="s">
        <v>6</v>
      </c>
      <c r="B5" s="43">
        <v>167.33917274939171</v>
      </c>
      <c r="C5" s="43">
        <v>176.3259259259259</v>
      </c>
      <c r="D5" s="43">
        <v>284.75223880597008</v>
      </c>
      <c r="E5" s="43">
        <v>531.91111111111115</v>
      </c>
      <c r="F5" s="43">
        <v>591.3599999999999</v>
      </c>
      <c r="G5" s="43">
        <v>507.21259842519686</v>
      </c>
      <c r="H5" s="43">
        <v>517.20533333333333</v>
      </c>
    </row>
    <row r="6" spans="1:8" x14ac:dyDescent="0.25">
      <c r="A6" s="6" t="s">
        <v>7</v>
      </c>
      <c r="B6" s="44">
        <v>207.51853211009171</v>
      </c>
      <c r="C6" s="44">
        <v>125.71115264797508</v>
      </c>
      <c r="D6" s="44">
        <v>190.67773584905657</v>
      </c>
      <c r="E6" s="44">
        <v>176.75987301587301</v>
      </c>
      <c r="F6" s="44">
        <v>552.56102564102571</v>
      </c>
      <c r="G6" s="44">
        <v>571.93610561056107</v>
      </c>
      <c r="H6" s="44">
        <v>442.49919999999997</v>
      </c>
    </row>
    <row r="7" spans="1:8" x14ac:dyDescent="0.25">
      <c r="A7" s="6" t="s">
        <v>8</v>
      </c>
      <c r="B7" s="44">
        <v>181.85964071856287</v>
      </c>
      <c r="C7" s="44">
        <v>144.78504065040653</v>
      </c>
      <c r="D7" s="44">
        <v>157.58518518518517</v>
      </c>
      <c r="E7" s="44">
        <v>408.85132075471688</v>
      </c>
      <c r="F7" s="44">
        <v>481.08161358811043</v>
      </c>
      <c r="G7" s="44">
        <v>406.66352941176467</v>
      </c>
      <c r="H7" s="44">
        <v>344.54039735099337</v>
      </c>
    </row>
    <row r="8" spans="1:8" x14ac:dyDescent="0.25">
      <c r="A8" s="6" t="s">
        <v>9</v>
      </c>
      <c r="B8" s="44">
        <v>146.40172043010753</v>
      </c>
      <c r="C8" s="44">
        <v>185.31014492753621</v>
      </c>
      <c r="D8" s="44">
        <v>292.59999999999997</v>
      </c>
      <c r="E8" s="44">
        <v>702.2399999999999</v>
      </c>
      <c r="F8" s="44">
        <v>702.2399999999999</v>
      </c>
      <c r="G8" s="44">
        <v>711.52551724137925</v>
      </c>
      <c r="H8" s="44">
        <v>608.96</v>
      </c>
    </row>
    <row r="9" spans="1:8" x14ac:dyDescent="0.25">
      <c r="A9" s="10" t="s">
        <v>10</v>
      </c>
      <c r="B9" s="47">
        <v>119.02128654970758</v>
      </c>
      <c r="C9" s="47">
        <v>171.19905325443787</v>
      </c>
      <c r="D9" s="47">
        <v>127.82834331337325</v>
      </c>
      <c r="E9" s="47">
        <v>164.8886746987952</v>
      </c>
      <c r="F9" s="47">
        <v>485.26331288343567</v>
      </c>
      <c r="G9" s="47">
        <v>385.80074534161491</v>
      </c>
      <c r="H9" s="47">
        <v>442.57834394904467</v>
      </c>
    </row>
    <row r="10" spans="1:8" ht="18.75" thickBot="1" x14ac:dyDescent="0.3">
      <c r="A10" s="11" t="s">
        <v>52</v>
      </c>
      <c r="B10" s="48">
        <f t="shared" ref="B10:H10" si="0">(B5+B6+B7+B8+B9)/5</f>
        <v>164.42807051157229</v>
      </c>
      <c r="C10" s="48">
        <f t="shared" si="0"/>
        <v>160.66626348125632</v>
      </c>
      <c r="D10" s="48">
        <f t="shared" si="0"/>
        <v>210.68870063071705</v>
      </c>
      <c r="E10" s="48">
        <f t="shared" si="0"/>
        <v>396.93019591609925</v>
      </c>
      <c r="F10" s="48">
        <f t="shared" si="0"/>
        <v>562.50119042251424</v>
      </c>
      <c r="G10" s="48">
        <f t="shared" si="0"/>
        <v>516.62769920610333</v>
      </c>
      <c r="H10" s="48">
        <f t="shared" si="0"/>
        <v>471.15665492667432</v>
      </c>
    </row>
    <row r="11" spans="1:8" ht="18.75" thickTop="1" x14ac:dyDescent="0.25">
      <c r="A11" s="5" t="s">
        <v>11</v>
      </c>
      <c r="B11" s="43">
        <v>428.38531835205993</v>
      </c>
      <c r="C11" s="43">
        <v>118.35999999999999</v>
      </c>
      <c r="D11" s="43">
        <v>289.81333333333333</v>
      </c>
      <c r="E11" s="43">
        <v>297.63325490196081</v>
      </c>
      <c r="F11" s="43">
        <v>582.56000000000006</v>
      </c>
      <c r="G11" s="43">
        <v>513.23317073170733</v>
      </c>
      <c r="H11" s="43">
        <v>477.06864197530854</v>
      </c>
    </row>
    <row r="12" spans="1:8" x14ac:dyDescent="0.25">
      <c r="A12" s="6" t="s">
        <v>12</v>
      </c>
      <c r="B12" s="44">
        <v>182.3971631205674</v>
      </c>
      <c r="C12" s="44">
        <v>203.14121863799284</v>
      </c>
      <c r="D12" s="44">
        <v>224.39999999999995</v>
      </c>
      <c r="E12" s="44">
        <v>606.00732600732601</v>
      </c>
      <c r="F12" s="44">
        <v>466.3011235955056</v>
      </c>
      <c r="G12" s="44">
        <v>598.29885057471267</v>
      </c>
      <c r="H12" s="44">
        <v>404.18604651162786</v>
      </c>
    </row>
    <row r="13" spans="1:8" x14ac:dyDescent="0.25">
      <c r="A13" s="6" t="s">
        <v>13</v>
      </c>
      <c r="B13" s="44">
        <v>161.82638297872339</v>
      </c>
      <c r="C13" s="44">
        <v>147.48289855072463</v>
      </c>
      <c r="D13" s="44">
        <v>239.65971014492754</v>
      </c>
      <c r="E13" s="44">
        <v>149.36146520146519</v>
      </c>
      <c r="F13" s="44">
        <v>498.04704119850197</v>
      </c>
      <c r="G13" s="44">
        <v>589.90344827586205</v>
      </c>
      <c r="H13" s="44">
        <v>478.22883720930236</v>
      </c>
    </row>
    <row r="14" spans="1:8" x14ac:dyDescent="0.25">
      <c r="A14" s="6" t="s">
        <v>14</v>
      </c>
      <c r="B14" s="44">
        <v>162.09254901960784</v>
      </c>
      <c r="C14" s="44">
        <v>141.53552238805969</v>
      </c>
      <c r="D14" s="44">
        <v>154.76972431077695</v>
      </c>
      <c r="E14" s="44">
        <v>169.84671755725191</v>
      </c>
      <c r="F14" s="44">
        <v>416.42502564102563</v>
      </c>
      <c r="G14" s="44">
        <v>499.40000000000003</v>
      </c>
      <c r="H14" s="44">
        <v>432.8110052910053</v>
      </c>
    </row>
    <row r="15" spans="1:8" x14ac:dyDescent="0.25">
      <c r="A15" s="7" t="s">
        <v>15</v>
      </c>
      <c r="B15" s="44">
        <v>225.89890109890109</v>
      </c>
      <c r="C15" s="44">
        <v>209.73333333333332</v>
      </c>
      <c r="D15" s="44">
        <v>260.73707865168541</v>
      </c>
      <c r="E15" s="44">
        <v>254.36666666666667</v>
      </c>
      <c r="F15" s="44">
        <v>198.25287356321843</v>
      </c>
      <c r="G15" s="44">
        <v>401.79844961240315</v>
      </c>
      <c r="H15" s="44">
        <v>488.65882352941179</v>
      </c>
    </row>
    <row r="16" spans="1:8" ht="18.75" thickBot="1" x14ac:dyDescent="0.3">
      <c r="A16" s="11" t="s">
        <v>52</v>
      </c>
      <c r="B16" s="48">
        <f t="shared" ref="B16:H16" si="1">(B11+B12+B13+B14+B15)/5</f>
        <v>232.12006291397194</v>
      </c>
      <c r="C16" s="48">
        <f t="shared" si="1"/>
        <v>164.05059458202209</v>
      </c>
      <c r="D16" s="48">
        <f t="shared" si="1"/>
        <v>233.87596928814463</v>
      </c>
      <c r="E16" s="48">
        <f t="shared" si="1"/>
        <v>295.44308606693414</v>
      </c>
      <c r="F16" s="48">
        <f t="shared" si="1"/>
        <v>432.31721279965041</v>
      </c>
      <c r="G16" s="48">
        <f t="shared" si="1"/>
        <v>520.52678383893704</v>
      </c>
      <c r="H16" s="48">
        <f t="shared" si="1"/>
        <v>456.19067090333118</v>
      </c>
    </row>
    <row r="17" spans="1:8" ht="18.75" thickTop="1" x14ac:dyDescent="0.25">
      <c r="A17" s="5" t="s">
        <v>17</v>
      </c>
      <c r="B17" s="43">
        <v>233.98974358974363</v>
      </c>
      <c r="C17" s="43">
        <v>278.16091954022994</v>
      </c>
      <c r="D17" s="43">
        <v>284.07017543859649</v>
      </c>
      <c r="E17" s="43">
        <v>516.78584070796467</v>
      </c>
      <c r="F17" s="43">
        <v>464.3047619047619</v>
      </c>
      <c r="G17" s="43">
        <v>381.33333333333331</v>
      </c>
      <c r="H17" s="43">
        <v>424.35555555555555</v>
      </c>
    </row>
    <row r="18" spans="1:8" x14ac:dyDescent="0.25">
      <c r="A18" s="6" t="s">
        <v>18</v>
      </c>
      <c r="B18" s="44">
        <v>219.92666666666662</v>
      </c>
      <c r="C18" s="44">
        <v>219.92666666666662</v>
      </c>
      <c r="D18" s="44">
        <v>248.21784037558689</v>
      </c>
      <c r="E18" s="44">
        <v>201.74628571428573</v>
      </c>
      <c r="F18" s="44">
        <v>176.52800000000005</v>
      </c>
      <c r="G18" s="44">
        <v>563.77816425120773</v>
      </c>
      <c r="H18" s="44">
        <v>688.44895522388049</v>
      </c>
    </row>
    <row r="19" spans="1:8" x14ac:dyDescent="0.25">
      <c r="A19" s="6" t="s">
        <v>19</v>
      </c>
      <c r="B19" s="44">
        <v>219.92666666666662</v>
      </c>
      <c r="C19" s="44">
        <v>173.75248826291084</v>
      </c>
      <c r="D19" s="44">
        <v>223.39605633802819</v>
      </c>
      <c r="E19" s="44">
        <v>252.18285714285722</v>
      </c>
      <c r="F19" s="44">
        <v>353.0560000000001</v>
      </c>
      <c r="G19" s="44">
        <v>563.77816425120773</v>
      </c>
      <c r="H19" s="44">
        <v>582.53373134328342</v>
      </c>
    </row>
    <row r="20" spans="1:8" x14ac:dyDescent="0.25">
      <c r="A20" s="6" t="s">
        <v>20</v>
      </c>
      <c r="B20" s="44">
        <v>141.94162162162164</v>
      </c>
      <c r="C20" s="44">
        <v>228.20127853881277</v>
      </c>
      <c r="D20" s="44">
        <v>414.72444444444443</v>
      </c>
      <c r="E20" s="44">
        <v>341.53777777777782</v>
      </c>
      <c r="F20" s="44">
        <v>545.17032863849772</v>
      </c>
      <c r="G20" s="44">
        <v>553.88038095238096</v>
      </c>
      <c r="H20" s="44">
        <v>572.06901960784319</v>
      </c>
    </row>
    <row r="21" spans="1:8" x14ac:dyDescent="0.25">
      <c r="A21" s="7" t="s">
        <v>21</v>
      </c>
      <c r="B21" s="44">
        <v>197.74798122065727</v>
      </c>
      <c r="C21" s="44">
        <v>197.74798122065727</v>
      </c>
      <c r="D21" s="44">
        <v>188.35142857142858</v>
      </c>
      <c r="E21" s="44">
        <v>226.02171428571432</v>
      </c>
      <c r="F21" s="44">
        <v>561.44000000000005</v>
      </c>
      <c r="G21" s="44">
        <v>570.64549019607841</v>
      </c>
      <c r="H21" s="44">
        <v>429.01333333333332</v>
      </c>
    </row>
    <row r="22" spans="1:8" ht="18.75" thickBot="1" x14ac:dyDescent="0.3">
      <c r="A22" s="11" t="s">
        <v>52</v>
      </c>
      <c r="B22" s="48">
        <f t="shared" ref="B22:H22" si="2">(B17+B18+B19+B20+B21)/5</f>
        <v>202.70653595307115</v>
      </c>
      <c r="C22" s="48">
        <f t="shared" si="2"/>
        <v>219.55786684585547</v>
      </c>
      <c r="D22" s="48">
        <f t="shared" si="2"/>
        <v>271.75198903361695</v>
      </c>
      <c r="E22" s="48">
        <f t="shared" si="2"/>
        <v>307.65489512571992</v>
      </c>
      <c r="F22" s="48">
        <f t="shared" si="2"/>
        <v>420.0998181086519</v>
      </c>
      <c r="G22" s="48">
        <f t="shared" si="2"/>
        <v>526.68310659684153</v>
      </c>
      <c r="H22" s="48">
        <f t="shared" si="2"/>
        <v>539.28411901277912</v>
      </c>
    </row>
    <row r="23" spans="1:8" ht="18.75" thickTop="1" x14ac:dyDescent="0.25">
      <c r="A23" s="5" t="s">
        <v>27</v>
      </c>
      <c r="B23" s="43">
        <v>292.50064516129032</v>
      </c>
      <c r="C23" s="43">
        <v>296.19014492753621</v>
      </c>
      <c r="D23" s="43">
        <v>337.45582417582415</v>
      </c>
      <c r="E23" s="43">
        <v>379.76888888888885</v>
      </c>
      <c r="F23" s="43">
        <v>189.88444444444443</v>
      </c>
      <c r="G23" s="43">
        <v>577.04269662921342</v>
      </c>
      <c r="H23" s="43">
        <v>506.65333333333336</v>
      </c>
    </row>
    <row r="24" spans="1:8" x14ac:dyDescent="0.25">
      <c r="A24" s="6" t="s">
        <v>28</v>
      </c>
      <c r="B24" s="44">
        <v>133.67999999999998</v>
      </c>
      <c r="C24" s="44">
        <v>121.46172839506173</v>
      </c>
      <c r="D24" s="44">
        <v>107.46417445482868</v>
      </c>
      <c r="E24" s="44">
        <v>139.72075471698111</v>
      </c>
      <c r="F24" s="44">
        <v>155.24528301886792</v>
      </c>
      <c r="G24" s="44">
        <v>471.00952380952378</v>
      </c>
      <c r="H24" s="44">
        <v>444.62564102564107</v>
      </c>
    </row>
    <row r="25" spans="1:8" x14ac:dyDescent="0.25">
      <c r="A25" s="6" t="s">
        <v>29</v>
      </c>
      <c r="B25" s="44">
        <v>141.84923076923076</v>
      </c>
      <c r="C25" s="44">
        <v>127.5401941747573</v>
      </c>
      <c r="D25" s="44">
        <v>177.40339869281047</v>
      </c>
      <c r="E25" s="44">
        <v>130.53042904290427</v>
      </c>
      <c r="F25" s="44">
        <v>297.15839999999997</v>
      </c>
      <c r="G25" s="44">
        <v>567.97629629629637</v>
      </c>
      <c r="H25" s="44">
        <v>777.65659863945575</v>
      </c>
    </row>
    <row r="26" spans="1:8" x14ac:dyDescent="0.25">
      <c r="A26" s="6" t="s">
        <v>30</v>
      </c>
      <c r="B26" s="44">
        <v>188.12883895131091</v>
      </c>
      <c r="C26" s="44">
        <v>171.54</v>
      </c>
      <c r="D26" s="44">
        <v>115.8767816091954</v>
      </c>
      <c r="E26" s="44">
        <v>156.57178294573646</v>
      </c>
      <c r="F26" s="44">
        <v>176.14325581395349</v>
      </c>
      <c r="G26" s="44">
        <v>704.57302325581395</v>
      </c>
      <c r="H26" s="44">
        <v>1005.3650793650794</v>
      </c>
    </row>
    <row r="27" spans="1:8" x14ac:dyDescent="0.25">
      <c r="A27" s="7" t="s">
        <v>31</v>
      </c>
      <c r="B27" s="44">
        <v>172.82160337552742</v>
      </c>
      <c r="C27" s="44">
        <v>197.2553846153846</v>
      </c>
      <c r="D27" s="44">
        <v>222.4</v>
      </c>
      <c r="E27" s="44">
        <v>166.79999999999998</v>
      </c>
      <c r="F27" s="44">
        <v>214.42666666666668</v>
      </c>
      <c r="G27" s="44">
        <v>641.51608888888904</v>
      </c>
      <c r="H27" s="44">
        <v>366.58062222222219</v>
      </c>
    </row>
    <row r="28" spans="1:8" ht="18.75" thickBot="1" x14ac:dyDescent="0.3">
      <c r="A28" s="11" t="s">
        <v>52</v>
      </c>
      <c r="B28" s="48">
        <f t="shared" ref="B28:H28" si="3">(B23+B24+B25+B26+B27)/5</f>
        <v>185.79606365147185</v>
      </c>
      <c r="C28" s="48">
        <f t="shared" si="3"/>
        <v>182.79749042254795</v>
      </c>
      <c r="D28" s="48">
        <f t="shared" si="3"/>
        <v>192.12003578653173</v>
      </c>
      <c r="E28" s="48">
        <f t="shared" si="3"/>
        <v>194.67837111890213</v>
      </c>
      <c r="F28" s="48">
        <f t="shared" si="3"/>
        <v>206.57160998878649</v>
      </c>
      <c r="G28" s="48">
        <f t="shared" si="3"/>
        <v>592.42352577594727</v>
      </c>
      <c r="H28" s="48">
        <f t="shared" si="3"/>
        <v>620.17625491714637</v>
      </c>
    </row>
    <row r="29" spans="1:8" ht="18.75" thickTop="1" x14ac:dyDescent="0.25">
      <c r="A29" s="5" t="s">
        <v>32</v>
      </c>
      <c r="B29" s="43">
        <v>277.56373333333329</v>
      </c>
      <c r="C29" s="43">
        <v>138.78186666666664</v>
      </c>
      <c r="D29" s="43">
        <v>140.89513513513515</v>
      </c>
      <c r="E29" s="43">
        <v>262.28821917808222</v>
      </c>
      <c r="F29" s="43">
        <v>541.17107981220659</v>
      </c>
      <c r="G29" s="43">
        <v>749.76000000000022</v>
      </c>
      <c r="H29" s="43">
        <v>749.76000000000022</v>
      </c>
    </row>
    <row r="30" spans="1:8" x14ac:dyDescent="0.25">
      <c r="A30" s="6" t="s">
        <v>33</v>
      </c>
      <c r="B30" s="44">
        <v>110.43323076923076</v>
      </c>
      <c r="C30" s="44">
        <v>111.4939534883721</v>
      </c>
      <c r="D30" s="44">
        <v>112.57125000000001</v>
      </c>
      <c r="E30" s="44">
        <v>353.62603674540691</v>
      </c>
      <c r="F30" s="44">
        <v>367.79707317073178</v>
      </c>
      <c r="G30" s="44">
        <v>379.04533333333336</v>
      </c>
      <c r="H30" s="44">
        <v>379.04533333333336</v>
      </c>
    </row>
    <row r="31" spans="1:8" x14ac:dyDescent="0.25">
      <c r="A31" s="6" t="s">
        <v>34</v>
      </c>
      <c r="B31" s="44">
        <v>131.45980198019799</v>
      </c>
      <c r="C31" s="44">
        <v>149.6352</v>
      </c>
      <c r="D31" s="44">
        <v>269.17925925925931</v>
      </c>
      <c r="E31" s="44">
        <v>153.22775510204079</v>
      </c>
      <c r="F31" s="44">
        <v>344.62130584192442</v>
      </c>
      <c r="G31" s="44">
        <v>418.58666666666664</v>
      </c>
      <c r="H31" s="44">
        <v>423.73389473684216</v>
      </c>
    </row>
    <row r="32" spans="1:8" x14ac:dyDescent="0.25">
      <c r="A32" s="6" t="s">
        <v>35</v>
      </c>
      <c r="B32" s="44">
        <v>118.59555555555558</v>
      </c>
      <c r="C32" s="44">
        <v>154.305306122449</v>
      </c>
      <c r="D32" s="44">
        <v>154.305306122449</v>
      </c>
      <c r="E32" s="44">
        <v>138.81621993127149</v>
      </c>
      <c r="F32" s="44">
        <v>140.50666666666669</v>
      </c>
      <c r="G32" s="44">
        <v>575.98184397163129</v>
      </c>
      <c r="H32" s="44">
        <v>473.83741935483869</v>
      </c>
    </row>
    <row r="33" spans="1:8" x14ac:dyDescent="0.25">
      <c r="A33" s="7" t="s">
        <v>36</v>
      </c>
      <c r="B33" s="44">
        <v>295.60666666666668</v>
      </c>
      <c r="C33" s="44">
        <v>244.64</v>
      </c>
      <c r="D33" s="44">
        <v>124.00578313253014</v>
      </c>
      <c r="E33" s="44">
        <v>124.00578313253014</v>
      </c>
      <c r="F33" s="44">
        <v>628.66341463414631</v>
      </c>
      <c r="G33" s="44">
        <v>474.15866666666659</v>
      </c>
      <c r="H33" s="44">
        <v>655.87848101265809</v>
      </c>
    </row>
    <row r="34" spans="1:8" ht="18.75" thickBot="1" x14ac:dyDescent="0.3">
      <c r="A34" s="11" t="s">
        <v>52</v>
      </c>
      <c r="B34" s="48">
        <f t="shared" ref="B34:H34" si="4">(B29+B30+B31+B32+B33)/5</f>
        <v>186.73179766099685</v>
      </c>
      <c r="C34" s="48">
        <f t="shared" si="4"/>
        <v>159.77126525549755</v>
      </c>
      <c r="D34" s="48">
        <f t="shared" si="4"/>
        <v>160.19134672987474</v>
      </c>
      <c r="E34" s="48">
        <f t="shared" si="4"/>
        <v>206.39280281786628</v>
      </c>
      <c r="F34" s="48">
        <f t="shared" si="4"/>
        <v>404.55190802513516</v>
      </c>
      <c r="G34" s="48">
        <f t="shared" si="4"/>
        <v>519.5065021276597</v>
      </c>
      <c r="H34" s="48">
        <f t="shared" si="4"/>
        <v>536.45102568753441</v>
      </c>
    </row>
    <row r="35" spans="1:8" ht="18.75" thickTop="1" x14ac:dyDescent="0.25">
      <c r="A35" s="5" t="s">
        <v>37</v>
      </c>
      <c r="B35" s="43">
        <v>231.68105610561054</v>
      </c>
      <c r="C35" s="43">
        <v>150.69120000000001</v>
      </c>
      <c r="D35" s="43">
        <v>154.305306122449</v>
      </c>
      <c r="E35" s="43">
        <v>173.52027491408936</v>
      </c>
      <c r="F35" s="43">
        <v>526.9</v>
      </c>
      <c r="G35" s="43">
        <v>568.93080701754388</v>
      </c>
      <c r="H35" s="43">
        <v>400.93935483870973</v>
      </c>
    </row>
    <row r="36" spans="1:8" x14ac:dyDescent="0.25">
      <c r="A36" s="6" t="s">
        <v>38</v>
      </c>
      <c r="B36" s="44">
        <v>87.509030732860538</v>
      </c>
      <c r="C36" s="44">
        <v>89.105803357314159</v>
      </c>
      <c r="D36" s="44">
        <v>89.921545893719824</v>
      </c>
      <c r="E36" s="44">
        <v>124.78014598540146</v>
      </c>
      <c r="F36" s="44">
        <v>346.65481481481476</v>
      </c>
      <c r="G36" s="44">
        <v>349.8985074626865</v>
      </c>
      <c r="H36" s="44">
        <v>359.92671755725189</v>
      </c>
    </row>
    <row r="37" spans="1:8" x14ac:dyDescent="0.25">
      <c r="A37" s="6" t="s">
        <v>39</v>
      </c>
      <c r="B37" s="44">
        <v>151.81257142857146</v>
      </c>
      <c r="C37" s="44">
        <v>154.26782608695655</v>
      </c>
      <c r="D37" s="44">
        <v>182.92784313725491</v>
      </c>
      <c r="E37" s="44">
        <v>182.92784313725491</v>
      </c>
      <c r="F37" s="44">
        <v>531.32736318407956</v>
      </c>
      <c r="G37" s="44">
        <v>648.32000000000005</v>
      </c>
      <c r="H37" s="44">
        <v>782.57666666666671</v>
      </c>
    </row>
    <row r="38" spans="1:8" x14ac:dyDescent="0.25">
      <c r="A38" s="6" t="s">
        <v>40</v>
      </c>
      <c r="B38" s="44">
        <v>227.16190476190476</v>
      </c>
      <c r="C38" s="44">
        <v>181.72952380952381</v>
      </c>
      <c r="D38" s="44">
        <v>184.42947368421051</v>
      </c>
      <c r="E38" s="44">
        <v>374.40284444444444</v>
      </c>
      <c r="F38" s="44">
        <v>463.24270270270273</v>
      </c>
      <c r="G38" s="44">
        <v>587.9377777777778</v>
      </c>
      <c r="H38" s="44">
        <v>597.21014084507044</v>
      </c>
    </row>
    <row r="39" spans="1:8" x14ac:dyDescent="0.25">
      <c r="A39" s="7" t="s">
        <v>41</v>
      </c>
      <c r="B39" s="44">
        <v>148.40115942028984</v>
      </c>
      <c r="C39" s="44">
        <v>150.28981684981684</v>
      </c>
      <c r="D39" s="44">
        <v>197.84827586206899</v>
      </c>
      <c r="E39" s="44">
        <v>180.44093023255815</v>
      </c>
      <c r="F39" s="44">
        <v>487.66494117647056</v>
      </c>
      <c r="G39" s="44">
        <v>584.63100401606437</v>
      </c>
      <c r="H39" s="44">
        <v>550.42211382113828</v>
      </c>
    </row>
    <row r="40" spans="1:8" ht="18.75" thickBot="1" x14ac:dyDescent="0.3">
      <c r="A40" s="11" t="s">
        <v>52</v>
      </c>
      <c r="B40" s="48">
        <f t="shared" ref="B40:H40" si="5">(B35+B36+B37+B38+B39)/5</f>
        <v>169.31314448984745</v>
      </c>
      <c r="C40" s="48">
        <f t="shared" si="5"/>
        <v>145.21683402072227</v>
      </c>
      <c r="D40" s="48">
        <f t="shared" si="5"/>
        <v>161.88648893994065</v>
      </c>
      <c r="E40" s="48">
        <f t="shared" si="5"/>
        <v>207.21440774274964</v>
      </c>
      <c r="F40" s="48">
        <f t="shared" si="5"/>
        <v>471.15796437561346</v>
      </c>
      <c r="G40" s="48">
        <f t="shared" si="5"/>
        <v>547.94361925481439</v>
      </c>
      <c r="H40" s="48">
        <f t="shared" si="5"/>
        <v>538.21499874576739</v>
      </c>
    </row>
    <row r="41" spans="1:8" ht="18.75" thickTop="1" x14ac:dyDescent="0.25">
      <c r="A41" s="5" t="s">
        <v>42</v>
      </c>
      <c r="B41" s="43">
        <v>110.66448979591839</v>
      </c>
      <c r="C41" s="43">
        <v>137.84852233676975</v>
      </c>
      <c r="D41" s="43">
        <v>113.36722222222224</v>
      </c>
      <c r="E41" s="43">
        <v>529.66736842105263</v>
      </c>
      <c r="F41" s="43">
        <v>643.48595744680858</v>
      </c>
      <c r="G41" s="43">
        <v>604.78956521739121</v>
      </c>
      <c r="H41" s="43">
        <v>639.17985185185182</v>
      </c>
    </row>
    <row r="42" spans="1:8" x14ac:dyDescent="0.25">
      <c r="A42" s="6" t="s">
        <v>43</v>
      </c>
      <c r="B42" s="44">
        <v>185.28351648351651</v>
      </c>
      <c r="C42" s="44">
        <v>168.9013333333333</v>
      </c>
      <c r="D42" s="44">
        <v>144.45000000000002</v>
      </c>
      <c r="E42" s="44">
        <v>585.45287356321842</v>
      </c>
      <c r="F42" s="44">
        <v>585.45287356321842</v>
      </c>
      <c r="G42" s="44">
        <v>601.29882352941172</v>
      </c>
      <c r="H42" s="44">
        <v>465.91473251028805</v>
      </c>
    </row>
    <row r="43" spans="1:8" x14ac:dyDescent="0.25">
      <c r="A43" s="6" t="s">
        <v>44</v>
      </c>
      <c r="B43" s="44">
        <v>114.59209439528024</v>
      </c>
      <c r="C43" s="44">
        <v>72.390476190476193</v>
      </c>
      <c r="D43" s="44">
        <v>325.4826666666666</v>
      </c>
      <c r="E43" s="44">
        <v>688.03620795107031</v>
      </c>
      <c r="F43" s="44">
        <v>642.25196261682242</v>
      </c>
      <c r="G43" s="44">
        <v>474.52307692307699</v>
      </c>
      <c r="H43" s="44">
        <v>447.98550161812307</v>
      </c>
    </row>
    <row r="44" spans="1:8" x14ac:dyDescent="0.25">
      <c r="A44" s="6" t="s">
        <v>45</v>
      </c>
      <c r="B44" s="44">
        <v>126.688458781362</v>
      </c>
      <c r="C44" s="44">
        <v>128.28869565217389</v>
      </c>
      <c r="D44" s="44">
        <v>102.08322344322345</v>
      </c>
      <c r="E44" s="44">
        <v>187.99407407407409</v>
      </c>
      <c r="F44" s="44">
        <v>628.43865168539332</v>
      </c>
      <c r="G44" s="44">
        <v>645.11080459770119</v>
      </c>
      <c r="H44" s="44">
        <v>481.86729411764713</v>
      </c>
    </row>
    <row r="45" spans="1:8" x14ac:dyDescent="0.25">
      <c r="A45" s="7" t="s">
        <v>46</v>
      </c>
      <c r="B45" s="44">
        <v>136.10666666666665</v>
      </c>
      <c r="C45" s="44">
        <v>107.04199376947041</v>
      </c>
      <c r="D45" s="44">
        <v>139.17283018867923</v>
      </c>
      <c r="E45" s="44">
        <v>172.02742857142854</v>
      </c>
      <c r="F45" s="44">
        <v>575.98135922330096</v>
      </c>
      <c r="G45" s="44">
        <v>589.47801980198017</v>
      </c>
      <c r="H45" s="44">
        <v>397.61920000000003</v>
      </c>
    </row>
    <row r="46" spans="1:8" ht="18.75" thickBot="1" x14ac:dyDescent="0.3">
      <c r="A46" s="11" t="s">
        <v>52</v>
      </c>
      <c r="B46" s="48">
        <f t="shared" ref="B46:H46" si="6">(B41+B42+B43+B44+B45)/5</f>
        <v>134.66704522454876</v>
      </c>
      <c r="C46" s="48">
        <f t="shared" si="6"/>
        <v>122.89420425644471</v>
      </c>
      <c r="D46" s="48">
        <f t="shared" si="6"/>
        <v>164.9111885041583</v>
      </c>
      <c r="E46" s="48">
        <f t="shared" si="6"/>
        <v>432.63559051616886</v>
      </c>
      <c r="F46" s="48">
        <f t="shared" si="6"/>
        <v>615.12216090710876</v>
      </c>
      <c r="G46" s="48">
        <f t="shared" si="6"/>
        <v>583.04005801391236</v>
      </c>
      <c r="H46" s="48">
        <f t="shared" si="6"/>
        <v>486.51331601958202</v>
      </c>
    </row>
    <row r="47" spans="1:8" ht="18.75" thickTop="1" x14ac:dyDescent="0.25">
      <c r="A47" s="5" t="s">
        <v>47</v>
      </c>
      <c r="B47" s="43">
        <v>169.71325102880655</v>
      </c>
      <c r="C47" s="43">
        <v>150.61199999999999</v>
      </c>
      <c r="D47" s="43">
        <v>218.2548523206751</v>
      </c>
      <c r="E47" s="43">
        <v>494.30857142857138</v>
      </c>
      <c r="F47" s="43">
        <v>539.24571428571426</v>
      </c>
      <c r="G47" s="43">
        <v>563.96108108108115</v>
      </c>
      <c r="H47" s="43">
        <v>572.65095890410953</v>
      </c>
    </row>
    <row r="48" spans="1:8" x14ac:dyDescent="0.25">
      <c r="A48" s="6" t="s">
        <v>48</v>
      </c>
      <c r="B48" s="44">
        <v>169.48799999999997</v>
      </c>
      <c r="C48" s="44">
        <v>114.45932584269661</v>
      </c>
      <c r="D48" s="44">
        <v>173.93999999999997</v>
      </c>
      <c r="E48" s="44">
        <v>337.35379844961244</v>
      </c>
      <c r="F48" s="44">
        <v>436.57550387596899</v>
      </c>
      <c r="G48" s="44">
        <v>448.5066666666666</v>
      </c>
      <c r="H48" s="44">
        <v>502.93073170731702</v>
      </c>
    </row>
    <row r="49" spans="1:8" x14ac:dyDescent="0.25">
      <c r="A49" s="6" t="s">
        <v>49</v>
      </c>
      <c r="B49" s="44">
        <v>114.31619047619047</v>
      </c>
      <c r="C49" s="44">
        <v>148.0665747126437</v>
      </c>
      <c r="D49" s="44">
        <v>193.77230769230769</v>
      </c>
      <c r="E49" s="44">
        <v>306.86411347517742</v>
      </c>
      <c r="F49" s="44">
        <v>292.79768115942028</v>
      </c>
      <c r="G49" s="44">
        <v>427.93507246376817</v>
      </c>
      <c r="H49" s="44">
        <v>373.92557213930348</v>
      </c>
    </row>
    <row r="50" spans="1:8" x14ac:dyDescent="0.25">
      <c r="A50" s="6" t="s">
        <v>50</v>
      </c>
      <c r="B50" s="44">
        <v>175.32777777777781</v>
      </c>
      <c r="C50" s="44">
        <v>212.97852631578948</v>
      </c>
      <c r="D50" s="44">
        <v>327.4735483870968</v>
      </c>
      <c r="E50" s="44">
        <v>559.71868131868132</v>
      </c>
      <c r="F50" s="44">
        <v>574.27415730337077</v>
      </c>
      <c r="G50" s="44">
        <v>471.59908045977016</v>
      </c>
      <c r="H50" s="44">
        <v>258.86325581395351</v>
      </c>
    </row>
    <row r="51" spans="1:8" x14ac:dyDescent="0.25">
      <c r="A51" s="7" t="s">
        <v>51</v>
      </c>
      <c r="B51" s="44">
        <v>214.66605363984672</v>
      </c>
      <c r="C51" s="44">
        <v>158.20899224806203</v>
      </c>
      <c r="D51" s="44">
        <v>162.53460317460318</v>
      </c>
      <c r="E51" s="44">
        <v>617.90843373493976</v>
      </c>
      <c r="F51" s="44">
        <v>635.3382716049382</v>
      </c>
      <c r="G51" s="44">
        <v>566.49721518987337</v>
      </c>
      <c r="H51" s="44">
        <v>397.89538461538461</v>
      </c>
    </row>
    <row r="52" spans="1:8" ht="18.75" thickBot="1" x14ac:dyDescent="0.3">
      <c r="A52" s="11" t="s">
        <v>52</v>
      </c>
      <c r="B52" s="48">
        <f t="shared" ref="B52:H52" si="7">(B47+B48+B49+B50+B51)/5</f>
        <v>168.7022545845243</v>
      </c>
      <c r="C52" s="48">
        <f t="shared" si="7"/>
        <v>156.86508382383838</v>
      </c>
      <c r="D52" s="48">
        <f t="shared" si="7"/>
        <v>215.19506231493656</v>
      </c>
      <c r="E52" s="48">
        <f t="shared" si="7"/>
        <v>463.23071968139647</v>
      </c>
      <c r="F52" s="48">
        <f t="shared" si="7"/>
        <v>495.64626564588252</v>
      </c>
      <c r="G52" s="48">
        <f t="shared" si="7"/>
        <v>495.69982317223196</v>
      </c>
      <c r="H52" s="48">
        <f t="shared" si="7"/>
        <v>421.25318063601361</v>
      </c>
    </row>
    <row r="53" spans="1:8" ht="18.75" thickTop="1" x14ac:dyDescent="0.25"/>
    <row r="54" spans="1:8" x14ac:dyDescent="0.25">
      <c r="B54" s="45">
        <f>B10+B16+B22+B28+B34+B40+B46+B52</f>
        <v>1444.4649749900045</v>
      </c>
      <c r="C54" s="45">
        <f t="shared" ref="C54:H54" si="8">C10+C16+C22+C28+C34+C40+C46+C52</f>
        <v>1311.8196026881849</v>
      </c>
      <c r="D54" s="45">
        <f t="shared" si="8"/>
        <v>1610.6207812279206</v>
      </c>
      <c r="E54" s="45">
        <f t="shared" si="8"/>
        <v>2504.1800689858369</v>
      </c>
      <c r="F54" s="45">
        <f t="shared" si="8"/>
        <v>3607.9681302733434</v>
      </c>
      <c r="G54" s="45">
        <f t="shared" si="8"/>
        <v>4302.4511179864467</v>
      </c>
      <c r="H54" s="45">
        <f t="shared" si="8"/>
        <v>4069.2402208488284</v>
      </c>
    </row>
    <row r="55" spans="1:8" x14ac:dyDescent="0.25">
      <c r="B55" s="45">
        <f>B54/8</f>
        <v>180.55812187375057</v>
      </c>
      <c r="C55" s="45">
        <f t="shared" ref="C55:H55" si="9">C54/8</f>
        <v>163.97745033602311</v>
      </c>
      <c r="D55" s="45">
        <f t="shared" si="9"/>
        <v>201.32759765349007</v>
      </c>
      <c r="E55" s="45">
        <f t="shared" si="9"/>
        <v>313.02250862322961</v>
      </c>
      <c r="F55" s="45">
        <f t="shared" si="9"/>
        <v>450.99601628416792</v>
      </c>
      <c r="G55" s="45">
        <f t="shared" si="9"/>
        <v>537.80638974830583</v>
      </c>
      <c r="H55" s="45">
        <f t="shared" si="9"/>
        <v>508.65502760610354</v>
      </c>
    </row>
  </sheetData>
  <mergeCells count="2">
    <mergeCell ref="B3:H3"/>
    <mergeCell ref="A3:A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1" sqref="A51"/>
    </sheetView>
  </sheetViews>
  <sheetFormatPr defaultRowHeight="18" x14ac:dyDescent="0.25"/>
  <cols>
    <col min="1" max="2" width="12.7109375" style="3" customWidth="1"/>
    <col min="3" max="8" width="11.5703125" style="2" customWidth="1"/>
    <col min="9" max="9" width="11.5703125" style="3" customWidth="1"/>
    <col min="10" max="10" width="12.7109375" style="3" customWidth="1"/>
    <col min="11" max="14" width="11.5703125" style="3" customWidth="1"/>
    <col min="15" max="15" width="11.5703125" style="2" customWidth="1"/>
    <col min="16" max="17" width="11.5703125" style="3" customWidth="1"/>
    <col min="18" max="16384" width="9.140625" style="3"/>
  </cols>
  <sheetData>
    <row r="1" spans="1:17" x14ac:dyDescent="0.25">
      <c r="A1" s="1" t="s">
        <v>23</v>
      </c>
      <c r="B1" s="1"/>
      <c r="J1" s="1"/>
      <c r="K1" s="34"/>
      <c r="L1" s="8"/>
      <c r="M1" s="8"/>
    </row>
    <row r="3" spans="1:17" x14ac:dyDescent="0.25">
      <c r="A3" s="51" t="s">
        <v>0</v>
      </c>
      <c r="B3" s="55" t="s">
        <v>24</v>
      </c>
      <c r="C3" s="56"/>
      <c r="D3" s="56"/>
      <c r="E3" s="56"/>
      <c r="F3" s="56"/>
      <c r="G3" s="56"/>
      <c r="H3" s="56"/>
      <c r="I3" s="57"/>
      <c r="J3" s="55" t="s">
        <v>25</v>
      </c>
      <c r="K3" s="56"/>
      <c r="L3" s="56"/>
      <c r="M3" s="56"/>
      <c r="N3" s="56"/>
      <c r="O3" s="56"/>
      <c r="P3" s="56"/>
      <c r="Q3" s="57"/>
    </row>
    <row r="4" spans="1:17" s="4" customFormat="1" ht="45.75" thickBot="1" x14ac:dyDescent="0.3">
      <c r="A4" s="52"/>
      <c r="B4" s="26" t="s">
        <v>26</v>
      </c>
      <c r="C4" s="26" t="s">
        <v>1</v>
      </c>
      <c r="D4" s="26" t="s">
        <v>2</v>
      </c>
      <c r="E4" s="27" t="s">
        <v>16</v>
      </c>
      <c r="F4" s="53" t="s">
        <v>3</v>
      </c>
      <c r="G4" s="54"/>
      <c r="H4" s="27" t="s">
        <v>4</v>
      </c>
      <c r="I4" s="28" t="s">
        <v>5</v>
      </c>
      <c r="J4" s="26" t="s">
        <v>26</v>
      </c>
      <c r="K4" s="26" t="s">
        <v>1</v>
      </c>
      <c r="L4" s="26" t="s">
        <v>2</v>
      </c>
      <c r="M4" s="27" t="s">
        <v>16</v>
      </c>
      <c r="N4" s="53" t="s">
        <v>3</v>
      </c>
      <c r="O4" s="54"/>
      <c r="P4" s="27" t="s">
        <v>4</v>
      </c>
      <c r="Q4" s="37" t="s">
        <v>5</v>
      </c>
    </row>
    <row r="5" spans="1:17" ht="18.75" thickTop="1" x14ac:dyDescent="0.25">
      <c r="A5" s="5" t="s">
        <v>6</v>
      </c>
      <c r="B5" s="40">
        <v>95.75</v>
      </c>
      <c r="C5" s="29">
        <f>B5/1000</f>
        <v>9.5750000000000002E-2</v>
      </c>
      <c r="D5" s="15">
        <v>3</v>
      </c>
      <c r="E5" s="14">
        <f>3885-B5</f>
        <v>3789.25</v>
      </c>
      <c r="F5" s="29">
        <v>6</v>
      </c>
      <c r="G5" s="12">
        <f>F5/100</f>
        <v>0.06</v>
      </c>
      <c r="H5" s="14">
        <v>1.76</v>
      </c>
      <c r="I5" s="23">
        <f>(E5*G5*H5)/(C5*D5)</f>
        <v>1393.0193211488249</v>
      </c>
      <c r="J5" s="40">
        <v>329.86</v>
      </c>
      <c r="K5" s="29">
        <f>J5/1000</f>
        <v>0.32985999999999999</v>
      </c>
      <c r="L5" s="15">
        <v>3</v>
      </c>
      <c r="M5" s="14">
        <f>3885-J5</f>
        <v>3555.14</v>
      </c>
      <c r="N5" s="29">
        <v>12</v>
      </c>
      <c r="O5" s="12">
        <f>N5/100</f>
        <v>0.12</v>
      </c>
      <c r="P5" s="14">
        <v>1.76</v>
      </c>
      <c r="Q5" s="35">
        <f>(M5*O5*P5)/(K5*L5)</f>
        <v>758.75176135330139</v>
      </c>
    </row>
    <row r="6" spans="1:17" x14ac:dyDescent="0.25">
      <c r="A6" s="6" t="s">
        <v>7</v>
      </c>
      <c r="B6" s="41">
        <v>84</v>
      </c>
      <c r="C6" s="30">
        <f>B6/1000</f>
        <v>8.4000000000000005E-2</v>
      </c>
      <c r="D6" s="17">
        <v>3</v>
      </c>
      <c r="E6" s="16">
        <f>3885-B6</f>
        <v>3801</v>
      </c>
      <c r="F6" s="30">
        <v>4.5</v>
      </c>
      <c r="G6" s="13">
        <f>F6/100</f>
        <v>4.4999999999999998E-2</v>
      </c>
      <c r="H6" s="16">
        <v>1.76</v>
      </c>
      <c r="I6" s="24">
        <f>(E6*G6*H6)/(C6*D6)</f>
        <v>1194.5999999999999</v>
      </c>
      <c r="J6" s="41">
        <v>253</v>
      </c>
      <c r="K6" s="30">
        <f>J6/1000</f>
        <v>0.253</v>
      </c>
      <c r="L6" s="17">
        <v>3</v>
      </c>
      <c r="M6" s="16">
        <f>3885-J6</f>
        <v>3632</v>
      </c>
      <c r="N6" s="30">
        <v>7.5</v>
      </c>
      <c r="O6" s="13">
        <f>N6/100</f>
        <v>7.4999999999999997E-2</v>
      </c>
      <c r="P6" s="16">
        <v>1.76</v>
      </c>
      <c r="Q6" s="36">
        <f>(M6*O6*P6)/(K6*L6)</f>
        <v>631.6521739130435</v>
      </c>
    </row>
    <row r="7" spans="1:17" x14ac:dyDescent="0.25">
      <c r="A7" s="6" t="s">
        <v>8</v>
      </c>
      <c r="B7" s="41">
        <v>129.88999999999999</v>
      </c>
      <c r="C7" s="30">
        <f t="shared" ref="C7:C9" si="0">B7/1000</f>
        <v>0.12988999999999998</v>
      </c>
      <c r="D7" s="17">
        <v>2</v>
      </c>
      <c r="E7" s="16">
        <f>3885-B7</f>
        <v>3755.11</v>
      </c>
      <c r="F7" s="30">
        <v>5</v>
      </c>
      <c r="G7" s="13">
        <f t="shared" ref="G7:G9" si="1">F7/100</f>
        <v>0.05</v>
      </c>
      <c r="H7" s="16">
        <v>1.76</v>
      </c>
      <c r="I7" s="24">
        <f t="shared" ref="I7:I9" si="2">(E7*G7*H7)/(C7*D7)</f>
        <v>1272.036646393102</v>
      </c>
      <c r="J7" s="41">
        <v>402.19</v>
      </c>
      <c r="K7" s="30">
        <f t="shared" ref="K7:K9" si="3">J7/1000</f>
        <v>0.40218999999999999</v>
      </c>
      <c r="L7" s="17">
        <v>2</v>
      </c>
      <c r="M7" s="16">
        <f t="shared" ref="M7:M9" si="4">3885-J7</f>
        <v>3482.81</v>
      </c>
      <c r="N7" s="30">
        <v>8.5</v>
      </c>
      <c r="O7" s="13">
        <f t="shared" ref="O7:O9" si="5">N7/100</f>
        <v>8.5000000000000006E-2</v>
      </c>
      <c r="P7" s="16">
        <v>1.76</v>
      </c>
      <c r="Q7" s="36">
        <f t="shared" ref="Q7:Q9" si="6">(M7*O7*P7)/(K7*L7)</f>
        <v>647.7390984360627</v>
      </c>
    </row>
    <row r="8" spans="1:17" x14ac:dyDescent="0.25">
      <c r="A8" s="6" t="s">
        <v>9</v>
      </c>
      <c r="B8" s="41">
        <v>81</v>
      </c>
      <c r="C8" s="30">
        <f>B8/1000</f>
        <v>8.1000000000000003E-2</v>
      </c>
      <c r="D8" s="17">
        <v>3</v>
      </c>
      <c r="E8" s="16">
        <f>3885-B8</f>
        <v>3804</v>
      </c>
      <c r="F8" s="30">
        <v>4.5</v>
      </c>
      <c r="G8" s="13">
        <f>F8/100</f>
        <v>4.4999999999999998E-2</v>
      </c>
      <c r="H8" s="16">
        <v>1.76</v>
      </c>
      <c r="I8" s="24">
        <f>(E8*G8*H8)/(C8*D8)</f>
        <v>1239.8222222222223</v>
      </c>
      <c r="J8" s="41">
        <v>233</v>
      </c>
      <c r="K8" s="30">
        <f>J8/1000</f>
        <v>0.23300000000000001</v>
      </c>
      <c r="L8" s="17">
        <v>3</v>
      </c>
      <c r="M8" s="16">
        <f>3885-J8</f>
        <v>3652</v>
      </c>
      <c r="N8" s="30">
        <v>7.5</v>
      </c>
      <c r="O8" s="13">
        <f>N8/100</f>
        <v>7.4999999999999997E-2</v>
      </c>
      <c r="P8" s="16">
        <v>1.76</v>
      </c>
      <c r="Q8" s="36">
        <f>(M8*O8*P8)/(K8*L8)</f>
        <v>689.64806866952779</v>
      </c>
    </row>
    <row r="9" spans="1:17" x14ac:dyDescent="0.25">
      <c r="A9" s="10" t="s">
        <v>10</v>
      </c>
      <c r="B9" s="42">
        <v>118.17</v>
      </c>
      <c r="C9" s="30">
        <f t="shared" si="0"/>
        <v>0.11817</v>
      </c>
      <c r="D9" s="19">
        <v>2</v>
      </c>
      <c r="E9" s="16">
        <f t="shared" ref="E9" si="7">3885-B9</f>
        <v>3766.83</v>
      </c>
      <c r="F9" s="31">
        <v>4.5</v>
      </c>
      <c r="G9" s="32">
        <f t="shared" si="1"/>
        <v>4.4999999999999998E-2</v>
      </c>
      <c r="H9" s="18">
        <v>1.76</v>
      </c>
      <c r="I9" s="33">
        <f t="shared" si="2"/>
        <v>1262.3040365575021</v>
      </c>
      <c r="J9" s="42">
        <v>311.14999999999998</v>
      </c>
      <c r="K9" s="30">
        <f t="shared" si="3"/>
        <v>0.31114999999999998</v>
      </c>
      <c r="L9" s="19">
        <v>2</v>
      </c>
      <c r="M9" s="16">
        <f t="shared" si="4"/>
        <v>3573.85</v>
      </c>
      <c r="N9" s="31">
        <v>7.5</v>
      </c>
      <c r="O9" s="32">
        <f t="shared" si="5"/>
        <v>7.4999999999999997E-2</v>
      </c>
      <c r="P9" s="18">
        <v>1.76</v>
      </c>
      <c r="Q9" s="38">
        <f t="shared" si="6"/>
        <v>758.07199100112484</v>
      </c>
    </row>
    <row r="10" spans="1:17" s="9" customFormat="1" ht="19.5" thickBot="1" x14ac:dyDescent="0.35">
      <c r="A10" s="11"/>
      <c r="B10" s="11"/>
      <c r="C10" s="21"/>
      <c r="D10" s="22"/>
      <c r="E10" s="21"/>
      <c r="F10" s="21"/>
      <c r="G10" s="21"/>
      <c r="H10" s="21"/>
      <c r="I10" s="25">
        <f>(SUM(I5:I9))/5</f>
        <v>1272.3564452643302</v>
      </c>
      <c r="J10" s="11"/>
      <c r="K10" s="21"/>
      <c r="L10" s="22"/>
      <c r="M10" s="21"/>
      <c r="N10" s="21"/>
      <c r="O10" s="21"/>
      <c r="P10" s="21"/>
      <c r="Q10" s="39">
        <f>(SUM(Q5:Q9))/5</f>
        <v>697.17261867461207</v>
      </c>
    </row>
    <row r="11" spans="1:17" ht="18.75" thickTop="1" x14ac:dyDescent="0.25">
      <c r="A11" s="5" t="s">
        <v>11</v>
      </c>
      <c r="B11" s="40">
        <v>63</v>
      </c>
      <c r="C11" s="29">
        <f>B11/1000</f>
        <v>6.3E-2</v>
      </c>
      <c r="D11" s="15">
        <v>3</v>
      </c>
      <c r="E11" s="14">
        <f>3885-B11</f>
        <v>3822</v>
      </c>
      <c r="F11" s="29">
        <v>6.75</v>
      </c>
      <c r="G11" s="12">
        <f>F11/100</f>
        <v>6.7500000000000004E-2</v>
      </c>
      <c r="H11" s="14">
        <v>1.76</v>
      </c>
      <c r="I11" s="23">
        <f>(E11*G11*H11)/(C11*D11)</f>
        <v>2402.4</v>
      </c>
      <c r="J11" s="40">
        <v>202</v>
      </c>
      <c r="K11" s="29">
        <f>J11/1000</f>
        <v>0.20200000000000001</v>
      </c>
      <c r="L11" s="15">
        <v>3</v>
      </c>
      <c r="M11" s="14">
        <f>3885-J11</f>
        <v>3683</v>
      </c>
      <c r="N11" s="29">
        <v>5.5</v>
      </c>
      <c r="O11" s="12">
        <f>N11/100</f>
        <v>5.5E-2</v>
      </c>
      <c r="P11" s="14">
        <v>1.76</v>
      </c>
      <c r="Q11" s="35">
        <f>(M11*O11*P11)/(K11*L11)</f>
        <v>588.30759075907588</v>
      </c>
    </row>
    <row r="12" spans="1:17" x14ac:dyDescent="0.25">
      <c r="A12" s="6" t="s">
        <v>12</v>
      </c>
      <c r="B12" s="41">
        <v>71</v>
      </c>
      <c r="C12" s="30">
        <f>B12/1000</f>
        <v>7.0999999999999994E-2</v>
      </c>
      <c r="D12" s="17">
        <v>3</v>
      </c>
      <c r="E12" s="16">
        <f>3885-B12</f>
        <v>3814</v>
      </c>
      <c r="F12" s="30">
        <v>3</v>
      </c>
      <c r="G12" s="13">
        <f>F12/100</f>
        <v>0.03</v>
      </c>
      <c r="H12" s="16">
        <v>1.76</v>
      </c>
      <c r="I12" s="24">
        <f>(E12*G12*H12)/(C12*D12)</f>
        <v>945.44225352112687</v>
      </c>
      <c r="J12" s="41">
        <v>215</v>
      </c>
      <c r="K12" s="30">
        <f>J12/1000</f>
        <v>0.215</v>
      </c>
      <c r="L12" s="17">
        <v>3</v>
      </c>
      <c r="M12" s="16">
        <f>3885-J12</f>
        <v>3670</v>
      </c>
      <c r="N12" s="30">
        <v>7.5</v>
      </c>
      <c r="O12" s="13">
        <f>N12/100</f>
        <v>7.4999999999999997E-2</v>
      </c>
      <c r="P12" s="16">
        <v>1.76</v>
      </c>
      <c r="Q12" s="36">
        <f>(M12*O12*P12)/(K12*L12)</f>
        <v>751.06976744186045</v>
      </c>
    </row>
    <row r="13" spans="1:17" x14ac:dyDescent="0.25">
      <c r="A13" s="6" t="s">
        <v>13</v>
      </c>
      <c r="B13" s="41">
        <v>57</v>
      </c>
      <c r="C13" s="30">
        <f t="shared" ref="C13:C15" si="8">B13/1000</f>
        <v>5.7000000000000002E-2</v>
      </c>
      <c r="D13" s="17">
        <v>3</v>
      </c>
      <c r="E13" s="16">
        <f t="shared" ref="E13" si="9">3885-B13</f>
        <v>3828</v>
      </c>
      <c r="F13" s="30">
        <v>3</v>
      </c>
      <c r="G13" s="13">
        <f t="shared" ref="G13:G15" si="10">F13/100</f>
        <v>0.03</v>
      </c>
      <c r="H13" s="16">
        <v>1.76</v>
      </c>
      <c r="I13" s="24">
        <f t="shared" ref="I13:I15" si="11">(E13*G13*H13)/(C13*D13)</f>
        <v>1181.9789473684209</v>
      </c>
      <c r="J13" s="41">
        <v>169</v>
      </c>
      <c r="K13" s="30">
        <f t="shared" ref="K13:K15" si="12">J13/1000</f>
        <v>0.16900000000000001</v>
      </c>
      <c r="L13" s="17">
        <v>3</v>
      </c>
      <c r="M13" s="16">
        <f t="shared" ref="M13:M14" si="13">3885-J13</f>
        <v>3716</v>
      </c>
      <c r="N13" s="30">
        <v>6</v>
      </c>
      <c r="O13" s="13">
        <f t="shared" ref="O13:O15" si="14">N13/100</f>
        <v>0.06</v>
      </c>
      <c r="P13" s="16">
        <v>1.76</v>
      </c>
      <c r="Q13" s="36">
        <f t="shared" ref="Q13:Q15" si="15">(M13*O13*P13)/(K13*L13)</f>
        <v>773.98343195266261</v>
      </c>
    </row>
    <row r="14" spans="1:17" x14ac:dyDescent="0.25">
      <c r="A14" s="6" t="s">
        <v>14</v>
      </c>
      <c r="B14" s="41">
        <v>90</v>
      </c>
      <c r="C14" s="30">
        <f t="shared" si="8"/>
        <v>0.09</v>
      </c>
      <c r="D14" s="17">
        <v>3</v>
      </c>
      <c r="E14" s="16">
        <f>3885-B14</f>
        <v>3795</v>
      </c>
      <c r="F14" s="30">
        <v>5.5</v>
      </c>
      <c r="G14" s="13">
        <f t="shared" si="10"/>
        <v>5.5E-2</v>
      </c>
      <c r="H14" s="16">
        <v>1.76</v>
      </c>
      <c r="I14" s="24">
        <f t="shared" si="11"/>
        <v>1360.5777777777776</v>
      </c>
      <c r="J14" s="41">
        <v>279</v>
      </c>
      <c r="K14" s="30">
        <f t="shared" si="12"/>
        <v>0.27900000000000003</v>
      </c>
      <c r="L14" s="17">
        <v>3</v>
      </c>
      <c r="M14" s="16">
        <f t="shared" si="13"/>
        <v>3606</v>
      </c>
      <c r="N14" s="30">
        <v>8</v>
      </c>
      <c r="O14" s="13">
        <f t="shared" si="14"/>
        <v>0.08</v>
      </c>
      <c r="P14" s="16">
        <v>1.76</v>
      </c>
      <c r="Q14" s="36">
        <f t="shared" si="15"/>
        <v>606.60071684587808</v>
      </c>
    </row>
    <row r="15" spans="1:17" x14ac:dyDescent="0.25">
      <c r="A15" s="7" t="s">
        <v>15</v>
      </c>
      <c r="B15" s="42">
        <v>83</v>
      </c>
      <c r="C15" s="30">
        <f t="shared" si="8"/>
        <v>8.3000000000000004E-2</v>
      </c>
      <c r="D15" s="19">
        <v>3</v>
      </c>
      <c r="E15" s="16">
        <f>3885-B15</f>
        <v>3802</v>
      </c>
      <c r="F15" s="31">
        <v>3</v>
      </c>
      <c r="G15" s="32">
        <f t="shared" si="10"/>
        <v>0.03</v>
      </c>
      <c r="H15" s="18">
        <v>1.76</v>
      </c>
      <c r="I15" s="24">
        <f t="shared" si="11"/>
        <v>806.20722891566265</v>
      </c>
      <c r="J15" s="42">
        <v>208</v>
      </c>
      <c r="K15" s="30">
        <f t="shared" si="12"/>
        <v>0.20799999999999999</v>
      </c>
      <c r="L15" s="19">
        <v>3</v>
      </c>
      <c r="M15" s="16">
        <f>3885-J15</f>
        <v>3677</v>
      </c>
      <c r="N15" s="31">
        <v>6.5</v>
      </c>
      <c r="O15" s="32">
        <f t="shared" si="14"/>
        <v>6.5000000000000002E-2</v>
      </c>
      <c r="P15" s="20">
        <v>1.76</v>
      </c>
      <c r="Q15" s="36">
        <f t="shared" si="15"/>
        <v>674.11666666666667</v>
      </c>
    </row>
    <row r="16" spans="1:17" ht="18.75" thickBot="1" x14ac:dyDescent="0.3">
      <c r="A16" s="11"/>
      <c r="B16" s="11"/>
      <c r="C16" s="21"/>
      <c r="D16" s="22"/>
      <c r="E16" s="21"/>
      <c r="F16" s="21"/>
      <c r="G16" s="21"/>
      <c r="H16" s="21"/>
      <c r="I16" s="25">
        <f>(SUM(I11:I15))/5</f>
        <v>1339.3212415165976</v>
      </c>
      <c r="J16" s="11"/>
      <c r="K16" s="21"/>
      <c r="L16" s="22"/>
      <c r="M16" s="21"/>
      <c r="N16" s="21"/>
      <c r="O16" s="21"/>
      <c r="P16" s="21"/>
      <c r="Q16" s="39">
        <f>(SUM(Q11:Q15))/5</f>
        <v>678.81563473322876</v>
      </c>
    </row>
    <row r="17" spans="1:17" ht="18.75" thickTop="1" x14ac:dyDescent="0.25">
      <c r="A17" s="5" t="s">
        <v>17</v>
      </c>
      <c r="B17" s="40">
        <v>69.16</v>
      </c>
      <c r="C17" s="29">
        <f>B17/1000</f>
        <v>6.9159999999999999E-2</v>
      </c>
      <c r="D17" s="15">
        <v>3</v>
      </c>
      <c r="E17" s="14">
        <f>3885-B17</f>
        <v>3815.84</v>
      </c>
      <c r="F17" s="29">
        <v>3.5</v>
      </c>
      <c r="G17" s="12">
        <f>F17/100</f>
        <v>3.5000000000000003E-2</v>
      </c>
      <c r="H17" s="14">
        <v>1.76</v>
      </c>
      <c r="I17" s="23">
        <f>(E17*G17*H17)/(C17*D17)</f>
        <v>1132.9079622132256</v>
      </c>
      <c r="J17" s="40">
        <v>191.55</v>
      </c>
      <c r="K17" s="29">
        <f>J17/1000</f>
        <v>0.19155</v>
      </c>
      <c r="L17" s="15">
        <v>3</v>
      </c>
      <c r="M17" s="14">
        <f>3885-J17</f>
        <v>3693.45</v>
      </c>
      <c r="N17" s="29">
        <v>5</v>
      </c>
      <c r="O17" s="12">
        <f>N17/100</f>
        <v>0.05</v>
      </c>
      <c r="P17" s="14">
        <v>1.76</v>
      </c>
      <c r="Q17" s="35">
        <f>(M17*O17*P17)/(K17*L17)</f>
        <v>565.60271469590191</v>
      </c>
    </row>
    <row r="18" spans="1:17" x14ac:dyDescent="0.25">
      <c r="A18" s="6" t="s">
        <v>18</v>
      </c>
      <c r="B18" s="41">
        <v>41.89</v>
      </c>
      <c r="C18" s="30">
        <f>B18/1000</f>
        <v>4.1890000000000004E-2</v>
      </c>
      <c r="D18" s="17">
        <v>3</v>
      </c>
      <c r="E18" s="16">
        <f>3885-B18</f>
        <v>3843.11</v>
      </c>
      <c r="F18" s="30">
        <v>2</v>
      </c>
      <c r="G18" s="13">
        <f>F18/100</f>
        <v>0.02</v>
      </c>
      <c r="H18" s="16">
        <v>1.76</v>
      </c>
      <c r="I18" s="24">
        <f>(E18*G18*H18)/(C18*D18)</f>
        <v>1076.4500039786744</v>
      </c>
      <c r="J18" s="41">
        <v>133.59</v>
      </c>
      <c r="K18" s="30">
        <f>J18/1000</f>
        <v>0.13359000000000001</v>
      </c>
      <c r="L18" s="17">
        <v>3</v>
      </c>
      <c r="M18" s="16">
        <f>3885-J18</f>
        <v>3751.41</v>
      </c>
      <c r="N18" s="30">
        <v>4</v>
      </c>
      <c r="O18" s="13">
        <f>N18/100</f>
        <v>0.04</v>
      </c>
      <c r="P18" s="16">
        <v>1.76</v>
      </c>
      <c r="Q18" s="36">
        <f>(M18*O18*P18)/(K18*L18)</f>
        <v>658.97962422336991</v>
      </c>
    </row>
    <row r="19" spans="1:17" x14ac:dyDescent="0.25">
      <c r="A19" s="6" t="s">
        <v>19</v>
      </c>
      <c r="B19" s="41">
        <v>47.9</v>
      </c>
      <c r="C19" s="30">
        <f t="shared" ref="C19:C21" si="16">B19/1000</f>
        <v>4.7899999999999998E-2</v>
      </c>
      <c r="D19" s="17">
        <v>3</v>
      </c>
      <c r="E19" s="16">
        <f>3885-B19</f>
        <v>3837.1</v>
      </c>
      <c r="F19" s="30">
        <v>2.5</v>
      </c>
      <c r="G19" s="13">
        <f t="shared" ref="G19:G21" si="17">F19/100</f>
        <v>2.5000000000000001E-2</v>
      </c>
      <c r="H19" s="16">
        <v>1.76</v>
      </c>
      <c r="I19" s="24">
        <f t="shared" ref="I19:I21" si="18">(E19*G19*H19)/(C19*D19)</f>
        <v>1174.8949199721644</v>
      </c>
      <c r="J19" s="41">
        <v>148.61000000000001</v>
      </c>
      <c r="K19" s="30">
        <f t="shared" ref="K19:K21" si="19">J19/1000</f>
        <v>0.14861000000000002</v>
      </c>
      <c r="L19" s="17">
        <v>3</v>
      </c>
      <c r="M19" s="16">
        <f t="shared" ref="M19:M21" si="20">3885-J19</f>
        <v>3736.39</v>
      </c>
      <c r="N19" s="30">
        <v>3.25</v>
      </c>
      <c r="O19" s="13">
        <f t="shared" ref="O19:O21" si="21">N19/100</f>
        <v>3.2500000000000001E-2</v>
      </c>
      <c r="P19" s="16">
        <v>1.76</v>
      </c>
      <c r="Q19" s="36">
        <f t="shared" ref="Q19:Q21" si="22">(M19*O19*P19)/(K19*L19)</f>
        <v>479.37892918825554</v>
      </c>
    </row>
    <row r="20" spans="1:17" x14ac:dyDescent="0.25">
      <c r="A20" s="6" t="s">
        <v>20</v>
      </c>
      <c r="B20" s="41">
        <v>28.47</v>
      </c>
      <c r="C20" s="30">
        <f t="shared" si="16"/>
        <v>2.8469999999999999E-2</v>
      </c>
      <c r="D20" s="17">
        <v>3</v>
      </c>
      <c r="E20" s="16">
        <f t="shared" ref="E20:E21" si="23">3885-B20</f>
        <v>3856.53</v>
      </c>
      <c r="F20" s="30">
        <v>2</v>
      </c>
      <c r="G20" s="13">
        <f t="shared" si="17"/>
        <v>0.02</v>
      </c>
      <c r="H20" s="16">
        <v>1.76</v>
      </c>
      <c r="I20" s="24">
        <f t="shared" si="18"/>
        <v>1589.3906568317527</v>
      </c>
      <c r="J20" s="41">
        <v>105.06</v>
      </c>
      <c r="K20" s="30">
        <f t="shared" si="19"/>
        <v>0.10506</v>
      </c>
      <c r="L20" s="17">
        <v>3</v>
      </c>
      <c r="M20" s="16">
        <f t="shared" si="20"/>
        <v>3779.94</v>
      </c>
      <c r="N20" s="30">
        <v>4</v>
      </c>
      <c r="O20" s="13">
        <f t="shared" si="21"/>
        <v>0.04</v>
      </c>
      <c r="P20" s="16">
        <v>1.76</v>
      </c>
      <c r="Q20" s="36">
        <f t="shared" si="22"/>
        <v>844.30413097277744</v>
      </c>
    </row>
    <row r="21" spans="1:17" x14ac:dyDescent="0.25">
      <c r="A21" s="7" t="s">
        <v>21</v>
      </c>
      <c r="B21" s="42">
        <v>44.07</v>
      </c>
      <c r="C21" s="30">
        <f t="shared" si="16"/>
        <v>4.4069999999999998E-2</v>
      </c>
      <c r="D21" s="19">
        <v>3</v>
      </c>
      <c r="E21" s="16">
        <f t="shared" si="23"/>
        <v>3840.93</v>
      </c>
      <c r="F21" s="31">
        <v>2</v>
      </c>
      <c r="G21" s="32">
        <f t="shared" si="17"/>
        <v>0.02</v>
      </c>
      <c r="H21" s="18">
        <v>1.76</v>
      </c>
      <c r="I21" s="24">
        <f t="shared" si="18"/>
        <v>1022.6211027910144</v>
      </c>
      <c r="J21" s="42">
        <v>116.78</v>
      </c>
      <c r="K21" s="30">
        <f t="shared" si="19"/>
        <v>0.11677999999999999</v>
      </c>
      <c r="L21" s="19">
        <v>3</v>
      </c>
      <c r="M21" s="16">
        <f t="shared" si="20"/>
        <v>3768.22</v>
      </c>
      <c r="N21" s="31">
        <v>4.5</v>
      </c>
      <c r="O21" s="32">
        <f t="shared" si="21"/>
        <v>4.4999999999999998E-2</v>
      </c>
      <c r="P21" s="18">
        <v>1.76</v>
      </c>
      <c r="Q21" s="36">
        <f t="shared" si="22"/>
        <v>851.86682651138892</v>
      </c>
    </row>
    <row r="22" spans="1:17" ht="18.75" thickBot="1" x14ac:dyDescent="0.3">
      <c r="A22" s="11"/>
      <c r="B22" s="11"/>
      <c r="C22" s="21"/>
      <c r="D22" s="22"/>
      <c r="E22" s="21"/>
      <c r="F22" s="21"/>
      <c r="G22" s="21"/>
      <c r="H22" s="21"/>
      <c r="I22" s="25">
        <f>(SUM(I17:I21))/5</f>
        <v>1199.2529291573665</v>
      </c>
      <c r="J22" s="11"/>
      <c r="K22" s="21"/>
      <c r="L22" s="22"/>
      <c r="M22" s="21"/>
      <c r="N22" s="21"/>
      <c r="O22" s="21"/>
      <c r="P22" s="21"/>
      <c r="Q22" s="39">
        <f>(SUM(Q17:Q21))/5</f>
        <v>680.02644511833876</v>
      </c>
    </row>
    <row r="23" spans="1:17" ht="18.75" thickTop="1" x14ac:dyDescent="0.25">
      <c r="A23" s="5" t="s">
        <v>27</v>
      </c>
      <c r="B23" s="40">
        <f>(9.46/(9.46+23.19))*256</f>
        <v>74.173353751914235</v>
      </c>
      <c r="C23" s="29">
        <f>B23/1000</f>
        <v>7.4173353751914237E-2</v>
      </c>
      <c r="D23" s="15">
        <v>3</v>
      </c>
      <c r="E23" s="14">
        <f>3885-B23</f>
        <v>3810.8266462480856</v>
      </c>
      <c r="F23" s="29">
        <v>4</v>
      </c>
      <c r="G23" s="12">
        <f>F23/100</f>
        <v>0.04</v>
      </c>
      <c r="H23" s="14">
        <v>1.76</v>
      </c>
      <c r="I23" s="23">
        <f>(E23*G23*H23)/(C23*D23)</f>
        <v>1205.6539728682174</v>
      </c>
      <c r="J23" s="40">
        <f>(23.19/(9.46+23.19))*256</f>
        <v>181.82664624808572</v>
      </c>
      <c r="K23" s="29">
        <f>J23/1000</f>
        <v>0.18182664624808573</v>
      </c>
      <c r="L23" s="15">
        <v>3</v>
      </c>
      <c r="M23" s="14">
        <f>3885-J23</f>
        <v>3703.1733537519144</v>
      </c>
      <c r="N23" s="29">
        <v>6</v>
      </c>
      <c r="O23" s="12">
        <f>N23/100</f>
        <v>0.06</v>
      </c>
      <c r="P23" s="14">
        <v>1.76</v>
      </c>
      <c r="Q23" s="35">
        <f>(M23*O23*P23)/(K23*L23)</f>
        <v>716.90098641655902</v>
      </c>
    </row>
    <row r="24" spans="1:17" x14ac:dyDescent="0.25">
      <c r="A24" s="6" t="s">
        <v>28</v>
      </c>
      <c r="B24" s="41">
        <f>(11.44/(11.44+31.88))*312</f>
        <v>82.393351800554015</v>
      </c>
      <c r="C24" s="30">
        <f>B24/1000</f>
        <v>8.2393351800554016E-2</v>
      </c>
      <c r="D24" s="17">
        <v>3</v>
      </c>
      <c r="E24" s="16">
        <f>3885-B24</f>
        <v>3802.6066481994458</v>
      </c>
      <c r="F24" s="30">
        <v>4</v>
      </c>
      <c r="G24" s="13">
        <f>F24/100</f>
        <v>0.04</v>
      </c>
      <c r="H24" s="16">
        <v>1.76</v>
      </c>
      <c r="I24" s="24">
        <f>(E24*G24*H24)/(C24*D24)</f>
        <v>1083.0303747534515</v>
      </c>
      <c r="J24" s="41">
        <f>(31.88/(11.44+31.88))*312</f>
        <v>229.60664819944597</v>
      </c>
      <c r="K24" s="30">
        <f>J24/1000</f>
        <v>0.22960664819944598</v>
      </c>
      <c r="L24" s="17">
        <v>3</v>
      </c>
      <c r="M24" s="16">
        <f>3885-J24</f>
        <v>3655.3933518005542</v>
      </c>
      <c r="N24" s="30">
        <v>7.5</v>
      </c>
      <c r="O24" s="13">
        <f>N24/100</f>
        <v>7.4999999999999997E-2</v>
      </c>
      <c r="P24" s="16">
        <v>1.76</v>
      </c>
      <c r="Q24" s="36">
        <f>(M24*O24*P24)/(K24*L24)</f>
        <v>700.49063796930795</v>
      </c>
    </row>
    <row r="25" spans="1:17" x14ac:dyDescent="0.25">
      <c r="A25" s="6" t="s">
        <v>29</v>
      </c>
      <c r="B25" s="41">
        <f>(9.61/(9.61+29.7))*256</f>
        <v>62.583566522513351</v>
      </c>
      <c r="C25" s="30">
        <f t="shared" ref="C25:C27" si="24">B25/1000</f>
        <v>6.2583566522513345E-2</v>
      </c>
      <c r="D25" s="17">
        <v>3</v>
      </c>
      <c r="E25" s="16">
        <f>3885-B25</f>
        <v>3822.4164334774869</v>
      </c>
      <c r="F25" s="30">
        <v>3</v>
      </c>
      <c r="G25" s="13">
        <f t="shared" ref="G25:G27" si="25">F25/100</f>
        <v>0.03</v>
      </c>
      <c r="H25" s="16">
        <v>1.76</v>
      </c>
      <c r="I25" s="24">
        <f t="shared" ref="I25:I27" si="26">(E25*G25*H25)/(C25*D25)</f>
        <v>1074.9551834027059</v>
      </c>
      <c r="J25" s="41">
        <f>(29.7/(9.61+29.7))*256</f>
        <v>193.41643347748663</v>
      </c>
      <c r="K25" s="30">
        <f t="shared" ref="K25:K27" si="27">J25/1000</f>
        <v>0.19341643347748663</v>
      </c>
      <c r="L25" s="17">
        <v>3</v>
      </c>
      <c r="M25" s="16">
        <f t="shared" ref="M25:M27" si="28">3885-J25</f>
        <v>3691.5835665225131</v>
      </c>
      <c r="N25" s="30">
        <v>4</v>
      </c>
      <c r="O25" s="13">
        <f t="shared" ref="O25:O27" si="29">N25/100</f>
        <v>0.04</v>
      </c>
      <c r="P25" s="16">
        <v>1.76</v>
      </c>
      <c r="Q25" s="36">
        <f t="shared" ref="Q25:Q27" si="30">(M25*O25*P25)/(K25*L25)</f>
        <v>447.88935185185181</v>
      </c>
    </row>
    <row r="26" spans="1:17" x14ac:dyDescent="0.25">
      <c r="A26" s="6" t="s">
        <v>30</v>
      </c>
      <c r="B26" s="41">
        <f>(12.63/(12.63+34.82))*256</f>
        <v>68.140779768177026</v>
      </c>
      <c r="C26" s="30">
        <f t="shared" si="24"/>
        <v>6.8140779768177021E-2</v>
      </c>
      <c r="D26" s="17">
        <v>3</v>
      </c>
      <c r="E26" s="16">
        <f t="shared" ref="E26:E27" si="31">3885-B26</f>
        <v>3816.8592202318232</v>
      </c>
      <c r="F26" s="30">
        <v>3</v>
      </c>
      <c r="G26" s="13">
        <f t="shared" si="25"/>
        <v>0.03</v>
      </c>
      <c r="H26" s="16">
        <v>1.76</v>
      </c>
      <c r="I26" s="24">
        <f t="shared" si="26"/>
        <v>985.85197446555821</v>
      </c>
      <c r="J26" s="41">
        <f>(34.82/(12.63+34.82))*256</f>
        <v>187.85922023182297</v>
      </c>
      <c r="K26" s="30">
        <f t="shared" si="27"/>
        <v>0.18785922023182297</v>
      </c>
      <c r="L26" s="17">
        <v>3</v>
      </c>
      <c r="M26" s="16">
        <f t="shared" si="28"/>
        <v>3697.1407797681768</v>
      </c>
      <c r="N26" s="30">
        <v>6</v>
      </c>
      <c r="O26" s="13">
        <f t="shared" si="29"/>
        <v>0.06</v>
      </c>
      <c r="P26" s="16">
        <v>1.76</v>
      </c>
      <c r="Q26" s="36">
        <f t="shared" si="30"/>
        <v>692.74936458931643</v>
      </c>
    </row>
    <row r="27" spans="1:17" x14ac:dyDescent="0.25">
      <c r="A27" s="7" t="s">
        <v>31</v>
      </c>
      <c r="B27" s="41">
        <f>(11.75/(11.75+30.87))*257</f>
        <v>70.85288596902862</v>
      </c>
      <c r="C27" s="30">
        <f t="shared" si="24"/>
        <v>7.0852885969028626E-2</v>
      </c>
      <c r="D27" s="19">
        <v>3</v>
      </c>
      <c r="E27" s="16">
        <f t="shared" si="31"/>
        <v>3814.1471140309714</v>
      </c>
      <c r="F27" s="31">
        <v>3.5</v>
      </c>
      <c r="G27" s="32">
        <f t="shared" si="25"/>
        <v>3.5000000000000003E-2</v>
      </c>
      <c r="H27" s="18">
        <v>1.76</v>
      </c>
      <c r="I27" s="24">
        <f t="shared" si="26"/>
        <v>1105.3488224742666</v>
      </c>
      <c r="J27" s="41">
        <f>(30.87/(11.75+30.87))*257</f>
        <v>186.14711403097138</v>
      </c>
      <c r="K27" s="30">
        <f t="shared" si="27"/>
        <v>0.18614711403097137</v>
      </c>
      <c r="L27" s="19">
        <v>3</v>
      </c>
      <c r="M27" s="16">
        <f t="shared" si="28"/>
        <v>3698.8528859690286</v>
      </c>
      <c r="N27" s="31">
        <v>7</v>
      </c>
      <c r="O27" s="32">
        <f t="shared" si="29"/>
        <v>7.0000000000000007E-2</v>
      </c>
      <c r="P27" s="18">
        <v>1.76</v>
      </c>
      <c r="Q27" s="36">
        <f t="shared" si="30"/>
        <v>816.01887468346627</v>
      </c>
    </row>
    <row r="28" spans="1:17" ht="18.75" thickBot="1" x14ac:dyDescent="0.3">
      <c r="A28" s="11"/>
      <c r="B28" s="11"/>
      <c r="C28" s="21"/>
      <c r="D28" s="22"/>
      <c r="E28" s="21"/>
      <c r="F28" s="21"/>
      <c r="G28" s="21"/>
      <c r="H28" s="21"/>
      <c r="I28" s="25">
        <f>(SUM(I23:I27))/5</f>
        <v>1090.96806559284</v>
      </c>
      <c r="J28" s="11"/>
      <c r="K28" s="21"/>
      <c r="L28" s="22"/>
      <c r="M28" s="21"/>
      <c r="N28" s="21"/>
      <c r="O28" s="21"/>
      <c r="P28" s="21"/>
      <c r="Q28" s="39">
        <f>(SUM(Q23:Q27))/5</f>
        <v>674.80984310210044</v>
      </c>
    </row>
    <row r="29" spans="1:17" ht="18.75" thickTop="1" x14ac:dyDescent="0.25">
      <c r="A29" s="5" t="s">
        <v>32</v>
      </c>
      <c r="B29" s="41">
        <f>((31.49-22.75)/(31.49))*236</f>
        <v>65.501429025087319</v>
      </c>
      <c r="C29" s="29">
        <f>B29/1000</f>
        <v>6.5501429025087321E-2</v>
      </c>
      <c r="D29" s="15">
        <v>3</v>
      </c>
      <c r="E29" s="14">
        <f>3885-B29</f>
        <v>3819.4985709749126</v>
      </c>
      <c r="F29" s="29">
        <v>3</v>
      </c>
      <c r="G29" s="12">
        <f>F29/100</f>
        <v>0.03</v>
      </c>
      <c r="H29" s="14">
        <v>1.76</v>
      </c>
      <c r="I29" s="23">
        <f>(E29*G29*H29)/(C29*D29)</f>
        <v>1026.2856223092735</v>
      </c>
      <c r="J29" s="41">
        <f>(22.75/(31.49))*236</f>
        <v>170.4985709749127</v>
      </c>
      <c r="K29" s="29">
        <f>J29/1000</f>
        <v>0.17049857097491269</v>
      </c>
      <c r="L29" s="15">
        <v>3</v>
      </c>
      <c r="M29" s="14">
        <f>3885-J29</f>
        <v>3714.5014290250874</v>
      </c>
      <c r="N29" s="29">
        <v>6</v>
      </c>
      <c r="O29" s="12">
        <f>N29/100</f>
        <v>0.06</v>
      </c>
      <c r="P29" s="14">
        <v>1.76</v>
      </c>
      <c r="Q29" s="35">
        <f>(M29*O29*P29)/(K29*L29)</f>
        <v>766.87123859191661</v>
      </c>
    </row>
    <row r="30" spans="1:17" x14ac:dyDescent="0.25">
      <c r="A30" s="6" t="s">
        <v>33</v>
      </c>
      <c r="B30" s="41">
        <f>((44.61-31.76)/(44.61))*277</f>
        <v>79.790405738623605</v>
      </c>
      <c r="C30" s="30">
        <f>B30/1000</f>
        <v>7.9790405738623602E-2</v>
      </c>
      <c r="D30" s="17">
        <v>3</v>
      </c>
      <c r="E30" s="16">
        <f>3885-B30</f>
        <v>3805.2095942613764</v>
      </c>
      <c r="F30" s="30">
        <v>4.25</v>
      </c>
      <c r="G30" s="13">
        <f>F30/100</f>
        <v>4.2500000000000003E-2</v>
      </c>
      <c r="H30" s="16">
        <v>1.76</v>
      </c>
      <c r="I30" s="24">
        <f>(E30*G30*H30)/(C30*D30)</f>
        <v>1189.0722742745841</v>
      </c>
      <c r="J30" s="41">
        <f>((31.76)/(44.61))*277</f>
        <v>197.2095942613764</v>
      </c>
      <c r="K30" s="30">
        <f>J30/1000</f>
        <v>0.19720959426137641</v>
      </c>
      <c r="L30" s="17">
        <v>3</v>
      </c>
      <c r="M30" s="16">
        <f>3885-J30</f>
        <v>3687.7904057386236</v>
      </c>
      <c r="N30" s="30">
        <v>7</v>
      </c>
      <c r="O30" s="13">
        <f>N30/100</f>
        <v>7.0000000000000007E-2</v>
      </c>
      <c r="P30" s="16">
        <v>1.76</v>
      </c>
      <c r="Q30" s="36">
        <f>(M30*O30*P30)/(K30*L30)</f>
        <v>767.94062629771418</v>
      </c>
    </row>
    <row r="31" spans="1:17" x14ac:dyDescent="0.25">
      <c r="A31" s="6" t="s">
        <v>34</v>
      </c>
      <c r="B31" s="41">
        <f>(13.81/(13.81+37.76))*256</f>
        <v>68.554585999612186</v>
      </c>
      <c r="C31" s="30">
        <f t="shared" ref="C31:C33" si="32">B31/1000</f>
        <v>6.8554585999612186E-2</v>
      </c>
      <c r="D31" s="17">
        <v>3</v>
      </c>
      <c r="E31" s="16">
        <f>3885-B31</f>
        <v>3816.4454140003877</v>
      </c>
      <c r="F31" s="30">
        <v>4</v>
      </c>
      <c r="G31" s="13">
        <f t="shared" ref="G31:G33" si="33">F31/100</f>
        <v>0.04</v>
      </c>
      <c r="H31" s="16">
        <v>1.76</v>
      </c>
      <c r="I31" s="24">
        <f t="shared" ref="I31:I33" si="34">(E31*G31*H31)/(C31*D31)</f>
        <v>1306.3933079893795</v>
      </c>
      <c r="J31" s="41">
        <f>(37.76/(13.81+37.76))*256</f>
        <v>187.44541400038781</v>
      </c>
      <c r="K31" s="30">
        <f t="shared" ref="K31:K33" si="35">J31/1000</f>
        <v>0.18744541400038781</v>
      </c>
      <c r="L31" s="17">
        <v>3</v>
      </c>
      <c r="M31" s="16">
        <f t="shared" ref="M31:M33" si="36">3885-J31</f>
        <v>3697.5545859996123</v>
      </c>
      <c r="N31" s="30">
        <v>5</v>
      </c>
      <c r="O31" s="13">
        <f t="shared" ref="O31:O33" si="37">N31/100</f>
        <v>0.05</v>
      </c>
      <c r="P31" s="16">
        <v>1.76</v>
      </c>
      <c r="Q31" s="36">
        <f t="shared" ref="Q31:Q33" si="38">(M31*O31*P31)/(K31*L31)</f>
        <v>578.63032695533207</v>
      </c>
    </row>
    <row r="32" spans="1:17" x14ac:dyDescent="0.25">
      <c r="A32" s="6" t="s">
        <v>35</v>
      </c>
      <c r="B32" s="41">
        <f>((43.55-29.64)/(43.55))*235</f>
        <v>75.0597014925373</v>
      </c>
      <c r="C32" s="30">
        <f t="shared" si="32"/>
        <v>7.5059701492537295E-2</v>
      </c>
      <c r="D32" s="17">
        <v>3</v>
      </c>
      <c r="E32" s="16">
        <f t="shared" ref="E32:E33" si="39">3885-B32</f>
        <v>3809.9402985074626</v>
      </c>
      <c r="F32" s="30">
        <v>4</v>
      </c>
      <c r="G32" s="13">
        <f t="shared" si="33"/>
        <v>0.04</v>
      </c>
      <c r="H32" s="16">
        <v>1.76</v>
      </c>
      <c r="I32" s="24">
        <f t="shared" si="34"/>
        <v>1191.1398157354015</v>
      </c>
      <c r="J32" s="41">
        <f>((29.64)/(43.55))*235</f>
        <v>159.9402985074627</v>
      </c>
      <c r="K32" s="30">
        <f t="shared" si="35"/>
        <v>0.15994029850746269</v>
      </c>
      <c r="L32" s="17">
        <v>3</v>
      </c>
      <c r="M32" s="16">
        <f t="shared" si="36"/>
        <v>3725.0597014925374</v>
      </c>
      <c r="N32" s="30">
        <v>6</v>
      </c>
      <c r="O32" s="13">
        <f t="shared" si="37"/>
        <v>0.06</v>
      </c>
      <c r="P32" s="16">
        <v>1.76</v>
      </c>
      <c r="Q32" s="36">
        <f t="shared" si="38"/>
        <v>819.81903695408721</v>
      </c>
    </row>
    <row r="33" spans="1:17" x14ac:dyDescent="0.25">
      <c r="A33" s="7" t="s">
        <v>36</v>
      </c>
      <c r="B33" s="41">
        <f>((33.53-25.02)/(33.53))*241</f>
        <v>61.166418133015227</v>
      </c>
      <c r="C33" s="30">
        <f t="shared" si="32"/>
        <v>6.1166418133015224E-2</v>
      </c>
      <c r="D33" s="19">
        <v>3</v>
      </c>
      <c r="E33" s="16">
        <f t="shared" si="39"/>
        <v>3823.8335818669848</v>
      </c>
      <c r="F33" s="31">
        <v>3</v>
      </c>
      <c r="G33" s="32">
        <f t="shared" si="33"/>
        <v>0.03</v>
      </c>
      <c r="H33" s="18">
        <v>1.76</v>
      </c>
      <c r="I33" s="24">
        <f t="shared" si="34"/>
        <v>1100.2683023633408</v>
      </c>
      <c r="J33" s="41">
        <f>((25.02)/(33.53))*241</f>
        <v>179.83358186698479</v>
      </c>
      <c r="K33" s="30">
        <f t="shared" si="35"/>
        <v>0.17983358186698478</v>
      </c>
      <c r="L33" s="19">
        <v>3</v>
      </c>
      <c r="M33" s="16">
        <f t="shared" si="36"/>
        <v>3705.1664181330152</v>
      </c>
      <c r="N33" s="31">
        <v>4</v>
      </c>
      <c r="O33" s="32">
        <f t="shared" si="37"/>
        <v>0.04</v>
      </c>
      <c r="P33" s="18">
        <v>1.76</v>
      </c>
      <c r="Q33" s="36">
        <f t="shared" si="38"/>
        <v>483.49092742403587</v>
      </c>
    </row>
    <row r="34" spans="1:17" ht="18.75" thickBot="1" x14ac:dyDescent="0.3">
      <c r="A34" s="11"/>
      <c r="B34" s="11"/>
      <c r="C34" s="21"/>
      <c r="D34" s="22"/>
      <c r="E34" s="21"/>
      <c r="F34" s="21"/>
      <c r="G34" s="21"/>
      <c r="H34" s="21"/>
      <c r="I34" s="25">
        <f>(SUM(I29:I33))/5</f>
        <v>1162.6318645343958</v>
      </c>
      <c r="J34" s="11"/>
      <c r="K34" s="21"/>
      <c r="L34" s="22"/>
      <c r="M34" s="21"/>
      <c r="N34" s="21"/>
      <c r="O34" s="21"/>
      <c r="P34" s="21"/>
      <c r="Q34" s="39">
        <f>(SUM(Q29:Q33))/5</f>
        <v>683.35043124461708</v>
      </c>
    </row>
    <row r="35" spans="1:17" ht="18.75" thickTop="1" x14ac:dyDescent="0.25">
      <c r="A35" s="5" t="s">
        <v>37</v>
      </c>
      <c r="B35" s="41">
        <f>270-193</f>
        <v>77</v>
      </c>
      <c r="C35" s="29">
        <f>B35/1000</f>
        <v>7.6999999999999999E-2</v>
      </c>
      <c r="D35" s="15">
        <v>3</v>
      </c>
      <c r="E35" s="14">
        <f>3885-B35</f>
        <v>3808</v>
      </c>
      <c r="F35" s="29">
        <v>4.5</v>
      </c>
      <c r="G35" s="12">
        <f>F35/100</f>
        <v>4.4999999999999998E-2</v>
      </c>
      <c r="H35" s="14">
        <v>1.76</v>
      </c>
      <c r="I35" s="23">
        <f>(E35*G35*H35)/(C35*D35)</f>
        <v>1305.5999999999999</v>
      </c>
      <c r="J35" s="41">
        <v>193</v>
      </c>
      <c r="K35" s="29">
        <f>J35/1000</f>
        <v>0.193</v>
      </c>
      <c r="L35" s="15">
        <v>3</v>
      </c>
      <c r="M35" s="14">
        <f>3885-J35</f>
        <v>3692</v>
      </c>
      <c r="N35" s="29">
        <v>5</v>
      </c>
      <c r="O35" s="12">
        <f>N35/100</f>
        <v>0.05</v>
      </c>
      <c r="P35" s="14">
        <v>1.76</v>
      </c>
      <c r="Q35" s="35">
        <f>(M35*O35*P35)/(K35*L35)</f>
        <v>561.13298791019008</v>
      </c>
    </row>
    <row r="36" spans="1:17" x14ac:dyDescent="0.25">
      <c r="A36" s="6" t="s">
        <v>38</v>
      </c>
      <c r="B36" s="41">
        <f>199-136</f>
        <v>63</v>
      </c>
      <c r="C36" s="30">
        <f>B36/1000</f>
        <v>6.3E-2</v>
      </c>
      <c r="D36" s="17">
        <v>3</v>
      </c>
      <c r="E36" s="16">
        <f>3885-B36</f>
        <v>3822</v>
      </c>
      <c r="F36" s="30">
        <v>4</v>
      </c>
      <c r="G36" s="13">
        <f>F36/100</f>
        <v>0.04</v>
      </c>
      <c r="H36" s="16">
        <v>1.76</v>
      </c>
      <c r="I36" s="24">
        <f>(E36*G36*H36)/(C36*D36)</f>
        <v>1423.6444444444444</v>
      </c>
      <c r="J36" s="41">
        <v>136</v>
      </c>
      <c r="K36" s="30">
        <f>J36/1000</f>
        <v>0.13600000000000001</v>
      </c>
      <c r="L36" s="17">
        <v>3</v>
      </c>
      <c r="M36" s="16">
        <f>3885-J36</f>
        <v>3749</v>
      </c>
      <c r="N36" s="30">
        <v>8</v>
      </c>
      <c r="O36" s="13">
        <f>N36/100</f>
        <v>0.08</v>
      </c>
      <c r="P36" s="16">
        <v>1.76</v>
      </c>
      <c r="Q36" s="36">
        <f>(M36*O36*P36)/(K36*L36)</f>
        <v>1293.7725490196078</v>
      </c>
    </row>
    <row r="37" spans="1:17" x14ac:dyDescent="0.25">
      <c r="A37" s="6" t="s">
        <v>39</v>
      </c>
      <c r="B37" s="41">
        <f>((41.04-31.34)/(41.04))*191</f>
        <v>45.143762183235864</v>
      </c>
      <c r="C37" s="30">
        <f t="shared" ref="C37:C39" si="40">B37/1000</f>
        <v>4.5143762183235861E-2</v>
      </c>
      <c r="D37" s="17">
        <v>3</v>
      </c>
      <c r="E37" s="16">
        <f>3885-B37</f>
        <v>3839.856237816764</v>
      </c>
      <c r="F37" s="30">
        <v>4.25</v>
      </c>
      <c r="G37" s="13">
        <f t="shared" ref="G37:G39" si="41">F37/100</f>
        <v>4.2500000000000003E-2</v>
      </c>
      <c r="H37" s="16">
        <v>1.76</v>
      </c>
      <c r="I37" s="24">
        <f t="shared" ref="I37:I39" si="42">(E37*G37*H37)/(C37*D37)</f>
        <v>2120.7894712221801</v>
      </c>
      <c r="J37" s="41">
        <f>((31.34)/(41.04))*191</f>
        <v>145.85623781676415</v>
      </c>
      <c r="K37" s="30">
        <f t="shared" ref="K37:K39" si="43">J37/1000</f>
        <v>0.14585623781676416</v>
      </c>
      <c r="L37" s="17">
        <v>3</v>
      </c>
      <c r="M37" s="16">
        <f t="shared" ref="M37:M39" si="44">3885-J37</f>
        <v>3739.143762183236</v>
      </c>
      <c r="N37" s="30">
        <v>6</v>
      </c>
      <c r="O37" s="13">
        <f t="shared" ref="O37:O39" si="45">N37/100</f>
        <v>0.06</v>
      </c>
      <c r="P37" s="16">
        <v>1.76</v>
      </c>
      <c r="Q37" s="36">
        <f t="shared" ref="Q37:Q39" si="46">(M37*O37*P37)/(K37*L37)</f>
        <v>902.38074421060003</v>
      </c>
    </row>
    <row r="38" spans="1:17" x14ac:dyDescent="0.25">
      <c r="A38" s="6" t="s">
        <v>40</v>
      </c>
      <c r="B38" s="41">
        <f>127-77</f>
        <v>50</v>
      </c>
      <c r="C38" s="30">
        <f t="shared" si="40"/>
        <v>0.05</v>
      </c>
      <c r="D38" s="17">
        <v>3</v>
      </c>
      <c r="E38" s="16">
        <f t="shared" ref="E38:E39" si="47">3885-B38</f>
        <v>3835</v>
      </c>
      <c r="F38" s="30">
        <v>5</v>
      </c>
      <c r="G38" s="13">
        <f t="shared" si="41"/>
        <v>0.05</v>
      </c>
      <c r="H38" s="16">
        <v>1.76</v>
      </c>
      <c r="I38" s="24">
        <f t="shared" si="42"/>
        <v>2249.8666666666663</v>
      </c>
      <c r="J38" s="41">
        <v>127</v>
      </c>
      <c r="K38" s="30">
        <f t="shared" si="43"/>
        <v>0.127</v>
      </c>
      <c r="L38" s="17">
        <v>3</v>
      </c>
      <c r="M38" s="16">
        <f t="shared" si="44"/>
        <v>3758</v>
      </c>
      <c r="N38" s="30">
        <v>4.5</v>
      </c>
      <c r="O38" s="13">
        <f t="shared" si="45"/>
        <v>4.4999999999999998E-2</v>
      </c>
      <c r="P38" s="16">
        <v>1.76</v>
      </c>
      <c r="Q38" s="36">
        <f t="shared" si="46"/>
        <v>781.19055118110236</v>
      </c>
    </row>
    <row r="39" spans="1:17" x14ac:dyDescent="0.25">
      <c r="A39" s="7" t="s">
        <v>41</v>
      </c>
      <c r="B39" s="41">
        <f>((46.47-36.63)/(46.67))*213</f>
        <v>44.909363616884491</v>
      </c>
      <c r="C39" s="30">
        <f t="shared" si="40"/>
        <v>4.4909363616884489E-2</v>
      </c>
      <c r="D39" s="19">
        <v>3</v>
      </c>
      <c r="E39" s="16">
        <f t="shared" si="47"/>
        <v>3840.0906363831155</v>
      </c>
      <c r="F39" s="31">
        <v>4</v>
      </c>
      <c r="G39" s="32">
        <f t="shared" si="41"/>
        <v>0.04</v>
      </c>
      <c r="H39" s="18">
        <v>1.76</v>
      </c>
      <c r="I39" s="24">
        <f t="shared" si="42"/>
        <v>2006.5776861712291</v>
      </c>
      <c r="J39" s="41">
        <f>((36.63)/(46.67))*213</f>
        <v>167.17784443968287</v>
      </c>
      <c r="K39" s="30">
        <f t="shared" si="43"/>
        <v>0.16717784443968287</v>
      </c>
      <c r="L39" s="19">
        <v>3</v>
      </c>
      <c r="M39" s="16">
        <f t="shared" si="44"/>
        <v>3717.8221555603172</v>
      </c>
      <c r="N39" s="31">
        <v>5</v>
      </c>
      <c r="O39" s="32">
        <f t="shared" si="45"/>
        <v>0.05</v>
      </c>
      <c r="P39" s="18">
        <v>1.76</v>
      </c>
      <c r="Q39" s="36">
        <f t="shared" si="46"/>
        <v>652.33594157537834</v>
      </c>
    </row>
    <row r="40" spans="1:17" ht="18.75" thickBot="1" x14ac:dyDescent="0.3">
      <c r="A40" s="11"/>
      <c r="B40" s="11"/>
      <c r="C40" s="21"/>
      <c r="D40" s="22"/>
      <c r="E40" s="21"/>
      <c r="F40" s="21"/>
      <c r="G40" s="21"/>
      <c r="H40" s="21"/>
      <c r="I40" s="25">
        <f>(SUM(I35:I39))/5</f>
        <v>1821.2956537009043</v>
      </c>
      <c r="J40" s="11"/>
      <c r="K40" s="21"/>
      <c r="L40" s="22"/>
      <c r="M40" s="21"/>
      <c r="N40" s="21"/>
      <c r="O40" s="21"/>
      <c r="P40" s="21"/>
      <c r="Q40" s="39">
        <f>(SUM(Q35:Q39))/5</f>
        <v>838.1625547793758</v>
      </c>
    </row>
    <row r="41" spans="1:17" ht="18.75" thickTop="1" x14ac:dyDescent="0.25">
      <c r="A41" s="5" t="s">
        <v>42</v>
      </c>
      <c r="B41" s="41">
        <f>287-208</f>
        <v>79</v>
      </c>
      <c r="C41" s="29">
        <f>B41/1000</f>
        <v>7.9000000000000001E-2</v>
      </c>
      <c r="D41" s="15">
        <v>3</v>
      </c>
      <c r="E41" s="14">
        <f>3885-B41</f>
        <v>3806</v>
      </c>
      <c r="F41" s="29">
        <v>6.5</v>
      </c>
      <c r="G41" s="12">
        <f>F41/100</f>
        <v>6.5000000000000002E-2</v>
      </c>
      <c r="H41" s="14">
        <v>1.76</v>
      </c>
      <c r="I41" s="23">
        <f>(E41*G41*H41)/(C41*D41)</f>
        <v>1837.1578059071733</v>
      </c>
      <c r="J41" s="41">
        <v>208</v>
      </c>
      <c r="K41" s="29">
        <f>J41/1000</f>
        <v>0.20799999999999999</v>
      </c>
      <c r="L41" s="15">
        <v>3</v>
      </c>
      <c r="M41" s="14">
        <f>3885-J41</f>
        <v>3677</v>
      </c>
      <c r="N41" s="29">
        <v>5</v>
      </c>
      <c r="O41" s="12">
        <f>N41/100</f>
        <v>0.05</v>
      </c>
      <c r="P41" s="14">
        <v>1.76</v>
      </c>
      <c r="Q41" s="35">
        <f>(M41*O41*P41)/(K41*L41)</f>
        <v>518.5512820512821</v>
      </c>
    </row>
    <row r="42" spans="1:17" x14ac:dyDescent="0.25">
      <c r="A42" s="6" t="s">
        <v>43</v>
      </c>
      <c r="B42" s="41">
        <f>201-J42</f>
        <v>55</v>
      </c>
      <c r="C42" s="30">
        <f>B42/1000</f>
        <v>5.5E-2</v>
      </c>
      <c r="D42" s="17">
        <v>3</v>
      </c>
      <c r="E42" s="16">
        <f>3885-B42</f>
        <v>3830</v>
      </c>
      <c r="F42" s="30">
        <v>2.5</v>
      </c>
      <c r="G42" s="13">
        <f>F42/100</f>
        <v>2.5000000000000001E-2</v>
      </c>
      <c r="H42" s="16">
        <v>1.76</v>
      </c>
      <c r="I42" s="24">
        <f>(E42*G42*H42)/(C42*D42)</f>
        <v>1021.3333333333334</v>
      </c>
      <c r="J42" s="41">
        <v>146</v>
      </c>
      <c r="K42" s="30">
        <f>J42/1000</f>
        <v>0.14599999999999999</v>
      </c>
      <c r="L42" s="17">
        <v>3</v>
      </c>
      <c r="M42" s="16">
        <f>3885-J42</f>
        <v>3739</v>
      </c>
      <c r="N42" s="30">
        <v>4.5</v>
      </c>
      <c r="O42" s="13">
        <f>N42/100</f>
        <v>4.4999999999999998E-2</v>
      </c>
      <c r="P42" s="16">
        <v>1.76</v>
      </c>
      <c r="Q42" s="36">
        <f>(M42*O42*P42)/(K42*L42)</f>
        <v>676.09315068493163</v>
      </c>
    </row>
    <row r="43" spans="1:17" x14ac:dyDescent="0.25">
      <c r="A43" s="6" t="s">
        <v>44</v>
      </c>
      <c r="B43" s="41">
        <f>273-J43</f>
        <v>62</v>
      </c>
      <c r="C43" s="30">
        <f t="shared" ref="C43:C45" si="48">B43/1000</f>
        <v>6.2E-2</v>
      </c>
      <c r="D43" s="17">
        <v>3</v>
      </c>
      <c r="E43" s="16">
        <f>3885-B43</f>
        <v>3823</v>
      </c>
      <c r="F43" s="30">
        <v>6</v>
      </c>
      <c r="G43" s="13">
        <f t="shared" ref="G43:G45" si="49">F43/100</f>
        <v>0.06</v>
      </c>
      <c r="H43" s="16">
        <v>1.76</v>
      </c>
      <c r="I43" s="24">
        <f t="shared" ref="I43:I45" si="50">(E43*G43*H43)/(C43*D43)</f>
        <v>2170.4774193548387</v>
      </c>
      <c r="J43" s="41">
        <v>211</v>
      </c>
      <c r="K43" s="30">
        <f t="shared" ref="K43:K45" si="51">J43/1000</f>
        <v>0.21099999999999999</v>
      </c>
      <c r="L43" s="17">
        <v>3</v>
      </c>
      <c r="M43" s="16">
        <f t="shared" ref="M43:M45" si="52">3885-J43</f>
        <v>3674</v>
      </c>
      <c r="N43" s="30">
        <v>3.5</v>
      </c>
      <c r="O43" s="13">
        <f t="shared" ref="O43:O45" si="53">N43/100</f>
        <v>3.5000000000000003E-2</v>
      </c>
      <c r="P43" s="16">
        <v>1.76</v>
      </c>
      <c r="Q43" s="36">
        <f t="shared" ref="Q43:Q45" si="54">(M43*O43*P43)/(K43*L43)</f>
        <v>357.53301737756715</v>
      </c>
    </row>
    <row r="44" spans="1:17" x14ac:dyDescent="0.25">
      <c r="A44" s="6" t="s">
        <v>45</v>
      </c>
      <c r="B44" s="41">
        <f>212-J44</f>
        <v>62</v>
      </c>
      <c r="C44" s="30">
        <f t="shared" si="48"/>
        <v>6.2E-2</v>
      </c>
      <c r="D44" s="17">
        <v>3</v>
      </c>
      <c r="E44" s="16">
        <f t="shared" ref="E44:E45" si="55">3885-B44</f>
        <v>3823</v>
      </c>
      <c r="F44" s="30">
        <v>1.75</v>
      </c>
      <c r="G44" s="13">
        <f t="shared" si="49"/>
        <v>1.7500000000000002E-2</v>
      </c>
      <c r="H44" s="16">
        <v>1.76</v>
      </c>
      <c r="I44" s="24">
        <f t="shared" si="50"/>
        <v>633.05591397849469</v>
      </c>
      <c r="J44" s="41">
        <v>150</v>
      </c>
      <c r="K44" s="30">
        <f t="shared" si="51"/>
        <v>0.15</v>
      </c>
      <c r="L44" s="17">
        <v>3</v>
      </c>
      <c r="M44" s="16">
        <f t="shared" si="52"/>
        <v>3735</v>
      </c>
      <c r="N44" s="30">
        <v>3.5</v>
      </c>
      <c r="O44" s="13">
        <f t="shared" si="53"/>
        <v>3.5000000000000003E-2</v>
      </c>
      <c r="P44" s="16">
        <v>1.76</v>
      </c>
      <c r="Q44" s="36">
        <f t="shared" si="54"/>
        <v>511.28000000000014</v>
      </c>
    </row>
    <row r="45" spans="1:17" x14ac:dyDescent="0.25">
      <c r="A45" s="7" t="s">
        <v>46</v>
      </c>
      <c r="B45" s="41">
        <f>224-J45</f>
        <v>60</v>
      </c>
      <c r="C45" s="30">
        <f t="shared" si="48"/>
        <v>0.06</v>
      </c>
      <c r="D45" s="19">
        <v>3</v>
      </c>
      <c r="E45" s="16">
        <f t="shared" si="55"/>
        <v>3825</v>
      </c>
      <c r="F45" s="31">
        <v>2</v>
      </c>
      <c r="G45" s="32">
        <f t="shared" si="49"/>
        <v>0.02</v>
      </c>
      <c r="H45" s="18">
        <v>1.76</v>
      </c>
      <c r="I45" s="24">
        <f t="shared" si="50"/>
        <v>748.00000000000011</v>
      </c>
      <c r="J45" s="41">
        <v>164</v>
      </c>
      <c r="K45" s="30">
        <f t="shared" si="51"/>
        <v>0.16400000000000001</v>
      </c>
      <c r="L45" s="19">
        <v>3</v>
      </c>
      <c r="M45" s="16">
        <f t="shared" si="52"/>
        <v>3721</v>
      </c>
      <c r="N45" s="31">
        <v>4.5</v>
      </c>
      <c r="O45" s="32">
        <f t="shared" si="53"/>
        <v>4.4999999999999998E-2</v>
      </c>
      <c r="P45" s="18">
        <v>1.76</v>
      </c>
      <c r="Q45" s="36">
        <f t="shared" si="54"/>
        <v>598.99024390243903</v>
      </c>
    </row>
    <row r="46" spans="1:17" ht="18.75" thickBot="1" x14ac:dyDescent="0.3">
      <c r="A46" s="11"/>
      <c r="B46" s="11"/>
      <c r="C46" s="21"/>
      <c r="D46" s="22"/>
      <c r="E46" s="21"/>
      <c r="F46" s="21"/>
      <c r="G46" s="21"/>
      <c r="H46" s="21"/>
      <c r="I46" s="25">
        <f>(SUM(I41:I45))/5</f>
        <v>1282.0048945147678</v>
      </c>
      <c r="J46" s="11"/>
      <c r="K46" s="21"/>
      <c r="L46" s="22"/>
      <c r="M46" s="21"/>
      <c r="N46" s="21"/>
      <c r="O46" s="21"/>
      <c r="P46" s="21"/>
      <c r="Q46" s="39">
        <f>(SUM(Q41:Q45))/5</f>
        <v>532.48953880324393</v>
      </c>
    </row>
    <row r="47" spans="1:17" ht="18.75" thickTop="1" x14ac:dyDescent="0.25">
      <c r="A47" s="5" t="s">
        <v>47</v>
      </c>
      <c r="B47" s="41">
        <f>188-J47</f>
        <v>52</v>
      </c>
      <c r="C47" s="29">
        <f>B47/1000</f>
        <v>5.1999999999999998E-2</v>
      </c>
      <c r="D47" s="15">
        <v>3</v>
      </c>
      <c r="E47" s="14">
        <f>3885-B47</f>
        <v>3833</v>
      </c>
      <c r="F47" s="29">
        <v>4</v>
      </c>
      <c r="G47" s="12">
        <f>F47/100</f>
        <v>0.04</v>
      </c>
      <c r="H47" s="14">
        <v>1.76</v>
      </c>
      <c r="I47" s="23">
        <f>(E47*G47*H47)/(C47*D47)</f>
        <v>1729.7641025641024</v>
      </c>
      <c r="J47" s="41">
        <v>136</v>
      </c>
      <c r="K47" s="29">
        <f>J47/1000</f>
        <v>0.13600000000000001</v>
      </c>
      <c r="L47" s="15">
        <v>3</v>
      </c>
      <c r="M47" s="14">
        <f>3885-J47</f>
        <v>3749</v>
      </c>
      <c r="N47" s="29">
        <v>4</v>
      </c>
      <c r="O47" s="12">
        <f>N47/100</f>
        <v>0.04</v>
      </c>
      <c r="P47" s="14">
        <v>1.76</v>
      </c>
      <c r="Q47" s="35">
        <f>(M47*O47*P47)/(K47*L47)</f>
        <v>646.88627450980391</v>
      </c>
    </row>
    <row r="48" spans="1:17" x14ac:dyDescent="0.25">
      <c r="A48" s="6" t="s">
        <v>48</v>
      </c>
      <c r="B48" s="41">
        <f>197-J48</f>
        <v>54</v>
      </c>
      <c r="C48" s="30">
        <f>B48/1000</f>
        <v>5.3999999999999999E-2</v>
      </c>
      <c r="D48" s="17">
        <v>3</v>
      </c>
      <c r="E48" s="16">
        <f>3885-B48</f>
        <v>3831</v>
      </c>
      <c r="F48" s="30">
        <v>1.5</v>
      </c>
      <c r="G48" s="13">
        <f>F48/100</f>
        <v>1.4999999999999999E-2</v>
      </c>
      <c r="H48" s="16">
        <v>1.76</v>
      </c>
      <c r="I48" s="24">
        <f>(E48*G48*H48)/(C48*D48)</f>
        <v>624.31111111111102</v>
      </c>
      <c r="J48" s="41">
        <v>143</v>
      </c>
      <c r="K48" s="30">
        <f>J48/1000</f>
        <v>0.14299999999999999</v>
      </c>
      <c r="L48" s="17">
        <v>3</v>
      </c>
      <c r="M48" s="16">
        <f>3885-J48</f>
        <v>3742</v>
      </c>
      <c r="N48" s="30">
        <v>2.75</v>
      </c>
      <c r="O48" s="13">
        <f>N48/100</f>
        <v>2.75E-2</v>
      </c>
      <c r="P48" s="16">
        <v>1.76</v>
      </c>
      <c r="Q48" s="36">
        <f>(M48*O48*P48)/(K48*L48)</f>
        <v>422.174358974359</v>
      </c>
    </row>
    <row r="49" spans="1:17" x14ac:dyDescent="0.25">
      <c r="A49" s="6" t="s">
        <v>49</v>
      </c>
      <c r="B49" s="41">
        <f>249-J49</f>
        <v>58</v>
      </c>
      <c r="C49" s="30">
        <f t="shared" ref="C49:C51" si="56">B49/1000</f>
        <v>5.8000000000000003E-2</v>
      </c>
      <c r="D49" s="17">
        <v>3</v>
      </c>
      <c r="E49" s="16">
        <f>3885-B49</f>
        <v>3827</v>
      </c>
      <c r="F49" s="30">
        <v>2.5</v>
      </c>
      <c r="G49" s="13">
        <f t="shared" ref="G49:G51" si="57">F49/100</f>
        <v>2.5000000000000001E-2</v>
      </c>
      <c r="H49" s="16">
        <v>1.76</v>
      </c>
      <c r="I49" s="24">
        <f t="shared" ref="I49:I51" si="58">(E49*G49*H49)/(C49*D49)</f>
        <v>967.74712643678174</v>
      </c>
      <c r="J49" s="41">
        <v>191</v>
      </c>
      <c r="K49" s="30">
        <f t="shared" ref="K49:K51" si="59">J49/1000</f>
        <v>0.191</v>
      </c>
      <c r="L49" s="17">
        <v>3</v>
      </c>
      <c r="M49" s="16">
        <f t="shared" ref="M49:M51" si="60">3885-J49</f>
        <v>3694</v>
      </c>
      <c r="N49" s="30">
        <v>4.5</v>
      </c>
      <c r="O49" s="13">
        <f t="shared" ref="O49:O51" si="61">N49/100</f>
        <v>4.4999999999999998E-2</v>
      </c>
      <c r="P49" s="16">
        <v>1.76</v>
      </c>
      <c r="Q49" s="36">
        <f t="shared" ref="Q49:Q51" si="62">(M49*O49*P49)/(K49*L49)</f>
        <v>510.58429319371731</v>
      </c>
    </row>
    <row r="50" spans="1:17" x14ac:dyDescent="0.25">
      <c r="A50" s="6" t="s">
        <v>50</v>
      </c>
      <c r="B50" s="41">
        <f>224-J50</f>
        <v>57</v>
      </c>
      <c r="C50" s="30">
        <f t="shared" si="56"/>
        <v>5.7000000000000002E-2</v>
      </c>
      <c r="D50" s="17">
        <v>3</v>
      </c>
      <c r="E50" s="16">
        <f t="shared" ref="E50:E51" si="63">3885-B50</f>
        <v>3828</v>
      </c>
      <c r="F50" s="30">
        <v>4</v>
      </c>
      <c r="G50" s="13">
        <f t="shared" si="57"/>
        <v>0.04</v>
      </c>
      <c r="H50" s="16">
        <v>1.76</v>
      </c>
      <c r="I50" s="24">
        <f t="shared" si="58"/>
        <v>1575.9719298245611</v>
      </c>
      <c r="J50" s="41">
        <v>167</v>
      </c>
      <c r="K50" s="30">
        <f t="shared" si="59"/>
        <v>0.16700000000000001</v>
      </c>
      <c r="L50" s="17">
        <v>3</v>
      </c>
      <c r="M50" s="16">
        <f t="shared" si="60"/>
        <v>3718</v>
      </c>
      <c r="N50" s="30">
        <v>4.5</v>
      </c>
      <c r="O50" s="13">
        <f t="shared" si="61"/>
        <v>4.4999999999999998E-2</v>
      </c>
      <c r="P50" s="16">
        <v>1.76</v>
      </c>
      <c r="Q50" s="36">
        <f t="shared" si="62"/>
        <v>587.75568862275452</v>
      </c>
    </row>
    <row r="51" spans="1:17" x14ac:dyDescent="0.25">
      <c r="A51" s="7" t="s">
        <v>51</v>
      </c>
      <c r="B51" s="41">
        <f>210-J51</f>
        <v>56</v>
      </c>
      <c r="C51" s="30">
        <f t="shared" si="56"/>
        <v>5.6000000000000001E-2</v>
      </c>
      <c r="D51" s="19">
        <v>3</v>
      </c>
      <c r="E51" s="16">
        <f t="shared" si="63"/>
        <v>3829</v>
      </c>
      <c r="F51" s="31">
        <v>4</v>
      </c>
      <c r="G51" s="32">
        <f t="shared" si="57"/>
        <v>0.04</v>
      </c>
      <c r="H51" s="18">
        <v>1.76</v>
      </c>
      <c r="I51" s="24">
        <f t="shared" si="58"/>
        <v>1604.5333333333333</v>
      </c>
      <c r="J51" s="41">
        <v>154</v>
      </c>
      <c r="K51" s="30">
        <f t="shared" si="59"/>
        <v>0.154</v>
      </c>
      <c r="L51" s="19">
        <v>3</v>
      </c>
      <c r="M51" s="16">
        <f t="shared" si="60"/>
        <v>3731</v>
      </c>
      <c r="N51" s="31">
        <v>3.5</v>
      </c>
      <c r="O51" s="32">
        <f t="shared" si="61"/>
        <v>3.5000000000000003E-2</v>
      </c>
      <c r="P51" s="18">
        <v>1.76</v>
      </c>
      <c r="Q51" s="36">
        <f t="shared" si="62"/>
        <v>497.46666666666675</v>
      </c>
    </row>
    <row r="52" spans="1:17" ht="18.75" thickBot="1" x14ac:dyDescent="0.3">
      <c r="A52" s="11"/>
      <c r="B52" s="11"/>
      <c r="C52" s="21"/>
      <c r="D52" s="22"/>
      <c r="E52" s="21"/>
      <c r="F52" s="21"/>
      <c r="G52" s="21"/>
      <c r="H52" s="21"/>
      <c r="I52" s="25">
        <f>(SUM(I47:I51))/5</f>
        <v>1300.465520653978</v>
      </c>
      <c r="J52" s="11"/>
      <c r="K52" s="21"/>
      <c r="L52" s="22"/>
      <c r="M52" s="21"/>
      <c r="N52" s="21"/>
      <c r="O52" s="21"/>
      <c r="P52" s="21"/>
      <c r="Q52" s="39">
        <f>(SUM(Q47:Q51))/5</f>
        <v>532.97345639346031</v>
      </c>
    </row>
    <row r="53" spans="1:17" ht="18.75" thickTop="1" x14ac:dyDescent="0.25"/>
  </sheetData>
  <mergeCells count="5">
    <mergeCell ref="A3:A4"/>
    <mergeCell ref="F4:G4"/>
    <mergeCell ref="N4:O4"/>
    <mergeCell ref="J3:Q3"/>
    <mergeCell ref="B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Respirasi</vt:lpstr>
      <vt:lpstr>KULIT VS DAGING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2018-01-12T06:38:24Z</dcterms:created>
  <dcterms:modified xsi:type="dcterms:W3CDTF">2018-05-26T12:03:11Z</dcterms:modified>
</cp:coreProperties>
</file>